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4"/>
  </bookViews>
  <sheets>
    <sheet name="Naslovna strana" sheetId="1" r:id="rId1"/>
    <sheet name="LV 1" sheetId="2" r:id="rId2"/>
    <sheet name="LV 2" sheetId="3" r:id="rId3"/>
    <sheet name="LV 3" sheetId="4" r:id="rId4"/>
    <sheet name="LV 4" sheetId="5" r:id="rId5"/>
    <sheet name="LV 5" sheetId="6" r:id="rId6"/>
  </sheets>
  <definedNames>
    <definedName name="_xlnm.Print_Area" localSheetId="2">'LV 2'!$A$1:$M$56</definedName>
    <definedName name="_xlnm.Print_Area" localSheetId="3">'LV 3'!$A$1:$K$51</definedName>
    <definedName name="_xlnm.Print_Area" localSheetId="5">'LV 5'!$A$1:$I$27</definedName>
    <definedName name="_xlnm.Print_Area" localSheetId="0">'Naslovna strana'!$A$1:$J$43</definedName>
    <definedName name="solver_adj" localSheetId="1" hidden="1">'LV 1'!$I$19</definedName>
    <definedName name="solver_cvg" localSheetId="1" hidden="1">0.001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'LV 1'!$J$19</definedName>
    <definedName name="solver_pre" localSheetId="1" hidden="1">0.0001</definedName>
    <definedName name="solver_rbv" localSheetId="1" hidden="1">1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26.5</definedName>
    <definedName name="solver_ver" localSheetId="1" hidden="1">3</definedName>
  </definedNames>
  <calcPr fullCalcOnLoad="1"/>
</workbook>
</file>

<file path=xl/comments2.xml><?xml version="1.0" encoding="utf-8"?>
<comments xmlns="http://schemas.openxmlformats.org/spreadsheetml/2006/main">
  <authors>
    <author>KLJAJIC</author>
    <author>Miroslav</author>
  </authors>
  <commentList>
    <comment ref="A15" authorId="0">
      <text>
        <r>
          <rPr>
            <b/>
            <sz val="8"/>
            <rFont val="Tahoma"/>
            <family val="2"/>
          </rPr>
          <t>Uneti sa dijagrama</t>
        </r>
      </text>
    </comment>
    <comment ref="J19" authorId="0">
      <text>
        <r>
          <rPr>
            <b/>
            <sz val="10"/>
            <rFont val="Tahoma"/>
            <family val="2"/>
          </rPr>
          <t>OBAVEZNO:
uneti vrednost preko alata SOLVER.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1 podeok = 1 cm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Jedinica je 1/s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Ovu vrednost uneti u ćeliju J19 preko SOLVER alata (da bi vrednost termonapona u ćeliji I19 bila odgovarajuća!</t>
        </r>
      </text>
    </comment>
    <comment ref="G10" authorId="1">
      <text>
        <r>
          <rPr>
            <b/>
            <sz val="8"/>
            <rFont val="Tahoma"/>
            <family val="2"/>
          </rPr>
          <t>Uneti odgovarajuću vrednost</t>
        </r>
      </text>
    </comment>
    <comment ref="G12" authorId="1">
      <text>
        <r>
          <rPr>
            <b/>
            <sz val="8"/>
            <rFont val="Tahoma"/>
            <family val="2"/>
          </rPr>
          <t>Uneti odgovarajuću vrednost</t>
        </r>
      </text>
    </comment>
  </commentList>
</comments>
</file>

<file path=xl/comments4.xml><?xml version="1.0" encoding="utf-8"?>
<comments xmlns="http://schemas.openxmlformats.org/spreadsheetml/2006/main">
  <authors>
    <author>Kljajic Miroslav</author>
    <author>KLJAJIC</author>
  </authors>
  <commentList>
    <comment ref="D4" authorId="0">
      <text>
        <r>
          <rPr>
            <u val="single"/>
            <sz val="8"/>
            <rFont val="Tahoma"/>
            <family val="2"/>
          </rPr>
          <t xml:space="preserve">napomena:
</t>
        </r>
        <r>
          <rPr>
            <sz val="8"/>
            <rFont val="Tahoma"/>
            <family val="2"/>
          </rPr>
          <t xml:space="preserve">   </t>
        </r>
        <r>
          <rPr>
            <b/>
            <sz val="9"/>
            <rFont val="Tahoma"/>
            <family val="2"/>
          </rPr>
          <t xml:space="preserve">Barometarski (atm) pritisak 759.5 mmHg = 1012.57 mbar
                           </t>
        </r>
        <r>
          <rPr>
            <b/>
            <sz val="12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 xml:space="preserve">
   nadpritisak u cevovodu  0,65 mbar (ćelija E17)</t>
        </r>
      </text>
    </comment>
    <comment ref="A5" authorId="1">
      <text>
        <r>
          <rPr>
            <b/>
            <sz val="8"/>
            <rFont val="Tahoma"/>
            <family val="2"/>
          </rPr>
          <t>Temperatura suvog termometra</t>
        </r>
      </text>
    </comment>
    <comment ref="C5" authorId="1">
      <text>
        <r>
          <rPr>
            <b/>
            <sz val="8"/>
            <rFont val="Tahoma"/>
            <family val="2"/>
          </rPr>
          <t>Temperatura suvog termometra</t>
        </r>
      </text>
    </comment>
  </commentList>
</comments>
</file>

<file path=xl/sharedStrings.xml><?xml version="1.0" encoding="utf-8"?>
<sst xmlns="http://schemas.openxmlformats.org/spreadsheetml/2006/main" count="203" uniqueCount="152">
  <si>
    <t>%</t>
  </si>
  <si>
    <t>oC</t>
  </si>
  <si>
    <t>pod</t>
  </si>
  <si>
    <t>mV</t>
  </si>
  <si>
    <t>min</t>
  </si>
  <si>
    <t>V</t>
  </si>
  <si>
    <t>dimenzije uzorka:</t>
  </si>
  <si>
    <t>D (mm)</t>
  </si>
  <si>
    <t>H (mm)</t>
  </si>
  <si>
    <t>vreme</t>
  </si>
  <si>
    <t>stvarni  termo-        napon</t>
  </si>
  <si>
    <t>tekući termo- napon</t>
  </si>
  <si>
    <t>koordinatni sistem pisača</t>
  </si>
  <si>
    <t>temp. centra cilindra</t>
  </si>
  <si>
    <t xml:space="preserve">Temperatura u centru cilindra zavisno od vremena hlađenja </t>
  </si>
  <si>
    <t>t (oC)</t>
  </si>
  <si>
    <t>ZADATAK</t>
  </si>
  <si>
    <t>NAPOMENA:</t>
  </si>
  <si>
    <t>(-)</t>
  </si>
  <si>
    <t>analiza      ln θ</t>
  </si>
  <si>
    <t xml:space="preserve"> [bar]   </t>
  </si>
  <si>
    <t>x</t>
  </si>
  <si>
    <t>ρ</t>
  </si>
  <si>
    <t>h</t>
  </si>
  <si>
    <t xml:space="preserve">pvs </t>
  </si>
  <si>
    <t xml:space="preserve">p </t>
  </si>
  <si>
    <t>[oC]</t>
  </si>
  <si>
    <t xml:space="preserve"> [%]</t>
  </si>
  <si>
    <t xml:space="preserve"> [oC]</t>
  </si>
  <si>
    <t xml:space="preserve"> [-]</t>
  </si>
  <si>
    <t>[bar]</t>
  </si>
  <si>
    <t>rezultati merenja:</t>
  </si>
  <si>
    <t>No.</t>
  </si>
  <si>
    <t>Vreme</t>
  </si>
  <si>
    <t>φ</t>
  </si>
  <si>
    <t>hh:mm</t>
  </si>
  <si>
    <t>hPa</t>
  </si>
  <si>
    <t>Pa</t>
  </si>
  <si>
    <t>mbar</t>
  </si>
  <si>
    <t>sr. vred.</t>
  </si>
  <si>
    <t>T [K]</t>
  </si>
  <si>
    <t>μ [Pa*s]</t>
  </si>
  <si>
    <t>Suvi vazd.</t>
  </si>
  <si>
    <t>Vod. para</t>
  </si>
  <si>
    <t>V. vazduh</t>
  </si>
  <si>
    <t>bar</t>
  </si>
  <si>
    <t>dinamička viskoznost vlažnog vazduha:</t>
  </si>
  <si>
    <r>
      <t>temperatura vode za hlađenje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</si>
  <si>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t>obrada rezultata merenja:</t>
  </si>
  <si>
    <t>0   do</t>
  </si>
  <si>
    <t>Opseg termonapona (podešenog) na ploteru:</t>
  </si>
  <si>
    <t>Brzina izvlačenja papira na ploteru:</t>
  </si>
  <si>
    <t>cm/h</t>
  </si>
  <si>
    <t>Tempo hlađenja</t>
  </si>
  <si>
    <r>
      <t>srednja temperatura vode za hlađenje</t>
    </r>
    <r>
      <rPr>
        <sz val="11"/>
        <rFont val="Arial"/>
        <family val="2"/>
      </rPr>
      <t>:</t>
    </r>
  </si>
  <si>
    <r>
      <t xml:space="preserve">Bezdimenziona temperatura u centru cilindra zavisno od vremena </t>
    </r>
    <r>
      <rPr>
        <sz val="11"/>
        <rFont val="Arial"/>
        <family val="2"/>
      </rPr>
      <t>(položaj plavih linija korigovati prema krivi!)</t>
    </r>
    <r>
      <rPr>
        <b/>
        <sz val="11"/>
        <rFont val="Arial"/>
        <family val="2"/>
      </rPr>
      <t xml:space="preserve"> </t>
    </r>
  </si>
  <si>
    <t>Pritisak vlažnog vazduha:</t>
  </si>
  <si>
    <t>Atmosferski pritisak</t>
  </si>
  <si>
    <r>
      <rPr>
        <sz val="11"/>
        <rFont val="Calibri"/>
        <family val="2"/>
      </rPr>
      <t>∆</t>
    </r>
    <r>
      <rPr>
        <sz val="11"/>
        <rFont val="Arial"/>
        <family val="2"/>
      </rPr>
      <t>p</t>
    </r>
  </si>
  <si>
    <r>
      <t>p</t>
    </r>
    <r>
      <rPr>
        <vertAlign val="subscript"/>
        <sz val="11"/>
        <rFont val="Arial"/>
        <family val="2"/>
      </rPr>
      <t>1</t>
    </r>
  </si>
  <si>
    <r>
      <t>t</t>
    </r>
    <r>
      <rPr>
        <vertAlign val="subscript"/>
        <sz val="11"/>
        <rFont val="Arial"/>
        <family val="2"/>
      </rPr>
      <t>1</t>
    </r>
  </si>
  <si>
    <t>[kJ/kg]</t>
  </si>
  <si>
    <r>
      <t xml:space="preserve"> [kg/m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</si>
  <si>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</t>
    </r>
  </si>
  <si>
    <t>1. Izraditi protokol merenja (obrazložiti cilj vežbe, opisati šta je mereno i na koji način)</t>
  </si>
  <si>
    <t>LV - 2.  BAŽDARENJE KAPACITIVNOG DIFERENCIJALNOG MANOMETRA</t>
  </si>
  <si>
    <t>rezultati merenja i obrada rezultata:</t>
  </si>
  <si>
    <t>Stvarni diferencijalni pritisak dp [mbar]</t>
  </si>
  <si>
    <t>Struja I [mA]</t>
  </si>
  <si>
    <t>2. Prikazati grafički zavisnost razlike pritiska na diferencijalnom pretvaraču (Dp) od struje (I) na izlazu iz korenatora</t>
  </si>
  <si>
    <t>3. Ustanoviti analitičku zavisnost ovih vrednosti koristeći metodu najmanjih kvadrata. Koristiti analitičku zavisnost oblika:</t>
  </si>
  <si>
    <t>1. Izraditi protokol merenja (obrazložiti cilj vežbe, opisati šta je mereno i na koji način).</t>
  </si>
  <si>
    <t>zapremina vode između dva očitavanja</t>
  </si>
  <si>
    <t>temperatura vode na ulazu u grejno telo</t>
  </si>
  <si>
    <t>temperatura vode na izlazu iz grejnog tela</t>
  </si>
  <si>
    <t>srednja temperatura</t>
  </si>
  <si>
    <t>razlika temperatura</t>
  </si>
  <si>
    <t>temperatura vazduha</t>
  </si>
  <si>
    <t>koeficijent prolaza toplote</t>
  </si>
  <si>
    <t>3. Izračunati toplotni kapacitet jednog članka grejnog tela</t>
  </si>
  <si>
    <t>4. Izvršiti analizu rezultata merenja i dati predlog za poboljšanje eksperimenta</t>
  </si>
  <si>
    <t>LV - 5. ODREĐIVANJE TOPLOTNE VREDNOSTI TEČNIH GORIVA KALORIMETARSKOM METODOM</t>
  </si>
  <si>
    <t>temperatura vode na ulazu u kalorimetar</t>
  </si>
  <si>
    <t>temperatura vode na izlazu iz kalorimetra</t>
  </si>
  <si>
    <t>temperaturska razlika</t>
  </si>
  <si>
    <t>Gornja toplotna vrednost goriva</t>
  </si>
  <si>
    <t>Donja toplotna vrednost goriva</t>
  </si>
  <si>
    <t>srednja vrednost:</t>
  </si>
  <si>
    <t>masa vode koja se zagreva:</t>
  </si>
  <si>
    <t>[kg]</t>
  </si>
  <si>
    <t>masa goriva koja se utrosi:</t>
  </si>
  <si>
    <t xml:space="preserve">specificni toplotni kapacitet pri konstantnom pritisku: </t>
  </si>
  <si>
    <t>[kJ/kg*K]</t>
  </si>
  <si>
    <t>masa kondenzata nastala u mernom periodu:</t>
  </si>
  <si>
    <t>2. Izračunati gornju i donju toplotnu vrednost za svako pojedinačno merenje</t>
  </si>
  <si>
    <t>3. Izračunati srednju vrednost toplotnih vrednosti</t>
  </si>
  <si>
    <t>4. Komentarisati rezultate merenja</t>
  </si>
  <si>
    <r>
      <t>Pritisak ostvaren tegovima P</t>
    </r>
    <r>
      <rPr>
        <vertAlign val="subscript"/>
        <sz val="11"/>
        <rFont val="Arial"/>
        <family val="2"/>
      </rPr>
      <t>kp</t>
    </r>
    <r>
      <rPr>
        <sz val="11"/>
        <rFont val="Arial"/>
        <family val="2"/>
      </rPr>
      <t xml:space="preserve">  [kp/cm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</si>
  <si>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t>Očitan napon na voltmetru  U [mV]</t>
  </si>
  <si>
    <t>[mmHg] =</t>
  </si>
  <si>
    <r>
      <t>t</t>
    </r>
    <r>
      <rPr>
        <vertAlign val="subscript"/>
        <sz val="12"/>
        <rFont val="Arial"/>
        <family val="2"/>
      </rPr>
      <t>st</t>
    </r>
    <r>
      <rPr>
        <sz val="12"/>
        <rFont val="Arial"/>
        <family val="2"/>
      </rPr>
      <t xml:space="preserve"> </t>
    </r>
  </si>
  <si>
    <r>
      <t>t</t>
    </r>
    <r>
      <rPr>
        <vertAlign val="subscript"/>
        <sz val="12"/>
        <rFont val="Arial"/>
        <family val="2"/>
      </rPr>
      <t>vt</t>
    </r>
    <r>
      <rPr>
        <sz val="12"/>
        <rFont val="Arial"/>
        <family val="2"/>
      </rPr>
      <t xml:space="preserve"> </t>
    </r>
  </si>
  <si>
    <t>parametri vlažnog vazduha unutar cevovoda:</t>
  </si>
  <si>
    <r>
      <t>t</t>
    </r>
    <r>
      <rPr>
        <vertAlign val="subscript"/>
        <sz val="12"/>
        <rFont val="Arial"/>
        <family val="2"/>
      </rPr>
      <t>u</t>
    </r>
  </si>
  <si>
    <r>
      <t>t</t>
    </r>
    <r>
      <rPr>
        <vertAlign val="subscript"/>
        <sz val="12"/>
        <rFont val="Arial"/>
        <family val="2"/>
      </rPr>
      <t>i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</si>
  <si>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</t>
    </r>
  </si>
  <si>
    <r>
      <t>t</t>
    </r>
    <r>
      <rPr>
        <vertAlign val="subscript"/>
        <sz val="12"/>
        <rFont val="Arial"/>
        <family val="2"/>
      </rPr>
      <t>sr</t>
    </r>
  </si>
  <si>
    <r>
      <t>t</t>
    </r>
    <r>
      <rPr>
        <vertAlign val="subscript"/>
        <sz val="12"/>
        <rFont val="Arial"/>
        <family val="2"/>
      </rPr>
      <t>o</t>
    </r>
  </si>
  <si>
    <r>
      <t>W/m</t>
    </r>
    <r>
      <rPr>
        <vertAlign val="superscript"/>
        <sz val="12"/>
        <rFont val="Arial"/>
        <family val="2"/>
      </rPr>
      <t>2</t>
    </r>
  </si>
  <si>
    <t>Student:</t>
  </si>
  <si>
    <t>Datum:</t>
  </si>
  <si>
    <t>IZVEŠTAJ</t>
  </si>
  <si>
    <t>SA LABORATORIJSKIH VEŽBI</t>
  </si>
  <si>
    <t>Fakultet tehničkih nauka Novi Sad</t>
  </si>
  <si>
    <t>Predmetni nastavnik:</t>
  </si>
  <si>
    <t>Asistent:</t>
  </si>
  <si>
    <r>
      <t xml:space="preserve">Predmet: </t>
    </r>
    <r>
      <rPr>
        <b/>
        <sz val="12"/>
        <rFont val="Arial"/>
        <family val="2"/>
      </rPr>
      <t>Merenje i regulisanje</t>
    </r>
  </si>
  <si>
    <t>Departman za energetiku i procesnu tehniku</t>
  </si>
  <si>
    <t>2. Nacrtati temperaturski profil u θ - t koordinatnom sistemu</t>
  </si>
  <si>
    <t>3. Identifikovati početak i zonu regularnog režima (plavim linijama označiti položaj regularnog režima)</t>
  </si>
  <si>
    <t>4. Izračunati temperatursku provodnost i srednju temperaturu materijala</t>
  </si>
  <si>
    <t>Δt</t>
  </si>
  <si>
    <t>LV - 4. ODREĐIVANJE KOEFICIJENTA PROLAZA TOPLOTE GREJNOG TELA</t>
  </si>
  <si>
    <t>LV - 3. MERENJE PROTOKA VLAŽNOG VAZDUHA MERNOM BLENDOM</t>
  </si>
  <si>
    <t>LV - 1.  ODREĐIVANJE TEMPERATURSKE PROVODNOSTI METODOM REGULARNOG REŽIMA</t>
  </si>
  <si>
    <r>
      <t xml:space="preserve">Koristiti pripremljen inverzni proračun za izračunavanje </t>
    </r>
    <r>
      <rPr>
        <b/>
        <sz val="11"/>
        <color indexed="12"/>
        <rFont val="Arial"/>
        <family val="2"/>
      </rPr>
      <t xml:space="preserve">termonapona koji odgovara temperaturi vode i referentnoj temperaturi od 0 </t>
    </r>
    <r>
      <rPr>
        <b/>
        <vertAlign val="super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>C</t>
    </r>
    <r>
      <rPr>
        <sz val="11"/>
        <rFont val="Arial"/>
        <family val="2"/>
      </rPr>
      <t>, pomoću alata SOLVER (</t>
    </r>
    <r>
      <rPr>
        <i/>
        <sz val="11"/>
        <rFont val="Arial"/>
        <family val="2"/>
      </rPr>
      <t>prethodno redukovati "security level" i tako aktivirati "macro"</t>
    </r>
    <r>
      <rPr>
        <sz val="11"/>
        <rFont val="Arial"/>
        <family val="2"/>
      </rPr>
      <t xml:space="preserve">).                                                                   U dijalogu uneti temperaturu vode u odgovarajuću ćeliju (Set target cell J19 to value of: </t>
    </r>
    <r>
      <rPr>
        <b/>
        <sz val="11"/>
        <rFont val="Arial"/>
        <family val="2"/>
      </rPr>
      <t>zadata temperatura</t>
    </r>
    <r>
      <rPr>
        <sz val="11"/>
        <rFont val="Arial"/>
        <family val="2"/>
      </rPr>
      <t>). Vrednost u ćeliji I19 (termonapon) će se promeniti u skladu sa unetom temperaturom. Na kraju potvrditi novu vrednost termonapona.                                                  Unos vrednosti izvršiti tako što se obriše postojeća vrednost u potpunosti i unese kompletna cifra nove temperature (ne menjati samo po jednu cifru u brojci!)</t>
    </r>
  </si>
  <si>
    <r>
      <t xml:space="preserve">&gt;&gt;&gt;  vrednost u ćeliji I8 mora biti identična cifri u ćeliji </t>
    </r>
    <r>
      <rPr>
        <b/>
        <sz val="11"/>
        <color indexed="10"/>
        <rFont val="Arial"/>
        <family val="2"/>
      </rPr>
      <t>J19</t>
    </r>
    <r>
      <rPr>
        <sz val="11"/>
        <color indexed="10"/>
        <rFont val="Arial"/>
        <family val="2"/>
      </rPr>
      <t xml:space="preserve"> jer se radi o istoj temperaturi! Ali vrednost uneti u ćeliji J19 putem alata SOLVER</t>
    </r>
  </si>
  <si>
    <t>srednja temperatura tokom trajanja merenja</t>
  </si>
  <si>
    <t>(0% do</t>
  </si>
  <si>
    <t>skale)</t>
  </si>
  <si>
    <r>
      <t>termonapon koji odgovara temp. vode i referentnoj temp. od 0</t>
    </r>
    <r>
      <rPr>
        <vertAlign val="superscript"/>
        <sz val="11"/>
        <color indexed="12"/>
        <rFont val="Arial"/>
        <family val="2"/>
      </rPr>
      <t>o</t>
    </r>
    <r>
      <rPr>
        <sz val="11"/>
        <color indexed="12"/>
        <rFont val="Arial"/>
        <family val="2"/>
      </rPr>
      <t>C              [V]</t>
    </r>
  </si>
  <si>
    <r>
      <t xml:space="preserve">konstante </t>
    </r>
    <r>
      <rPr>
        <b/>
        <sz val="11"/>
        <rFont val="Arial"/>
        <family val="2"/>
      </rPr>
      <t>a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za poznati termopar</t>
    </r>
  </si>
  <si>
    <r>
      <t>bezdim. temp. u centru cil.</t>
    </r>
    <r>
      <rPr>
        <sz val="11"/>
        <rFont val="Calibri"/>
        <family val="2"/>
      </rPr>
      <t>θ</t>
    </r>
  </si>
  <si>
    <r>
      <t>5. Izračunati termičku provodnost ako je specifiična toplota PVC materijala 0,43 kJ/kgK i ako je gustina materijala 0,955 kg/dm</t>
    </r>
    <r>
      <rPr>
        <vertAlign val="superscript"/>
        <sz val="11"/>
        <rFont val="Arial"/>
        <family val="2"/>
      </rPr>
      <t>3</t>
    </r>
  </si>
  <si>
    <t xml:space="preserve">Napomene: </t>
  </si>
  <si>
    <t>Uz izveštaj priložiti dijagram sa samih vežbi.</t>
  </si>
  <si>
    <t>Matematičke relacije prikazati u parametarskom obliku a zatim prikazati i brojčane vrednosti.</t>
  </si>
  <si>
    <t>Slike i tabele treba imenovati i označiti.</t>
  </si>
  <si>
    <t>(tumačiti i obrazložiti grafičku zavisnost)</t>
  </si>
  <si>
    <t>2. Izračunati koeficijent prolaza toplote grejnog tela</t>
  </si>
  <si>
    <t>Tabele treba imenovati i označiti.</t>
  </si>
  <si>
    <t>Tabelu treba imenovati i označiti.</t>
  </si>
  <si>
    <t>2. Izračunati protok za izmerene vrednosti pada pritiska na mernoj blendi,</t>
  </si>
  <si>
    <t xml:space="preserve">    temperature i vlažnosti ispred merene blende i za izmereni barometarski pritisak.</t>
  </si>
  <si>
    <t>rezultati merenja za grejno telo 1 (liveni radijator):</t>
  </si>
  <si>
    <t>Protok          vode</t>
  </si>
  <si>
    <t>rezultati merenja za grejno telo 1 (panelni radijator):</t>
  </si>
  <si>
    <t>Vanr. prof. dr Miroslav Kljajić</t>
  </si>
  <si>
    <t>Vladimir Munćan</t>
  </si>
  <si>
    <t>Školska godina 2023/2024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</si>
  <si>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/2min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</si>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</sst>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0"/>
    <numFmt numFmtId="181" formatCode="0.0"/>
    <numFmt numFmtId="182" formatCode="0.00000"/>
    <numFmt numFmtId="183" formatCode="0.0000"/>
    <numFmt numFmtId="184" formatCode="0.0000E+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E+00"/>
    <numFmt numFmtId="192" formatCode="0.00000000000"/>
    <numFmt numFmtId="193" formatCode="#,##0.0"/>
  </numFmts>
  <fonts count="82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i/>
      <sz val="11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vertAlign val="subscript"/>
      <sz val="11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color indexed="8"/>
      <name val="Arial"/>
      <family val="0"/>
    </font>
    <font>
      <vertAlign val="superscript"/>
      <sz val="14"/>
      <color indexed="8"/>
      <name val="Arial"/>
      <family val="0"/>
    </font>
    <font>
      <sz val="13.5"/>
      <color indexed="8"/>
      <name val="Arial"/>
      <family val="0"/>
    </font>
    <font>
      <sz val="16"/>
      <color indexed="8"/>
      <name val="Arial"/>
      <family val="0"/>
    </font>
    <font>
      <sz val="11.5"/>
      <color indexed="8"/>
      <name val="Arial"/>
      <family val="0"/>
    </font>
    <font>
      <b/>
      <i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8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18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right" vertical="top"/>
    </xf>
    <xf numFmtId="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top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8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5" fillId="0" borderId="0" xfId="57" applyFont="1">
      <alignment/>
      <protection/>
    </xf>
    <xf numFmtId="2" fontId="5" fillId="0" borderId="10" xfId="57" applyNumberFormat="1" applyFont="1" applyBorder="1" applyAlignment="1">
      <alignment horizontal="center"/>
      <protection/>
    </xf>
    <xf numFmtId="2" fontId="5" fillId="0" borderId="13" xfId="57" applyNumberFormat="1" applyFont="1" applyBorder="1" applyAlignment="1">
      <alignment horizont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182" fontId="5" fillId="0" borderId="12" xfId="57" applyNumberFormat="1" applyFont="1" applyFill="1" applyBorder="1" applyAlignment="1">
      <alignment horizontal="center" vertical="center"/>
      <protection/>
    </xf>
    <xf numFmtId="185" fontId="5" fillId="0" borderId="12" xfId="57" applyNumberFormat="1" applyFont="1" applyFill="1" applyBorder="1" applyAlignment="1">
      <alignment horizontal="center" vertical="center"/>
      <protection/>
    </xf>
    <xf numFmtId="181" fontId="5" fillId="0" borderId="12" xfId="57" applyNumberFormat="1" applyFont="1" applyFill="1" applyBorder="1" applyAlignment="1">
      <alignment horizontal="center"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2" fontId="0" fillId="0" borderId="0" xfId="57" applyNumberFormat="1">
      <alignment/>
      <protection/>
    </xf>
    <xf numFmtId="0" fontId="18" fillId="0" borderId="0" xfId="57" applyFont="1" applyAlignment="1">
      <alignment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 wrapText="1"/>
      <protection/>
    </xf>
    <xf numFmtId="183" fontId="5" fillId="0" borderId="10" xfId="57" applyNumberFormat="1" applyFont="1" applyBorder="1" applyAlignment="1">
      <alignment horizontal="center" vertical="center"/>
      <protection/>
    </xf>
    <xf numFmtId="181" fontId="5" fillId="0" borderId="10" xfId="57" applyNumberFormat="1" applyFont="1" applyBorder="1" applyAlignment="1">
      <alignment horizontal="center"/>
      <protection/>
    </xf>
    <xf numFmtId="0" fontId="18" fillId="0" borderId="0" xfId="57" applyFont="1">
      <alignment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20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185" fontId="5" fillId="0" borderId="10" xfId="57" applyNumberFormat="1" applyFont="1" applyBorder="1" applyAlignment="1">
      <alignment horizontal="center"/>
      <protection/>
    </xf>
    <xf numFmtId="20" fontId="5" fillId="0" borderId="13" xfId="57" applyNumberFormat="1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185" fontId="5" fillId="0" borderId="13" xfId="57" applyNumberFormat="1" applyFont="1" applyBorder="1" applyAlignment="1">
      <alignment horizontal="center"/>
      <protection/>
    </xf>
    <xf numFmtId="181" fontId="5" fillId="0" borderId="13" xfId="57" applyNumberFormat="1" applyFont="1" applyBorder="1" applyAlignment="1">
      <alignment horizontal="center"/>
      <protection/>
    </xf>
    <xf numFmtId="181" fontId="5" fillId="0" borderId="10" xfId="57" applyNumberFormat="1" applyFont="1" applyBorder="1" applyAlignment="1">
      <alignment horizontal="center" vertical="center"/>
      <protection/>
    </xf>
    <xf numFmtId="0" fontId="5" fillId="0" borderId="10" xfId="57" applyFont="1" applyBorder="1">
      <alignment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 horizontal="center"/>
    </xf>
    <xf numFmtId="0" fontId="14" fillId="0" borderId="12" xfId="57" applyFont="1" applyBorder="1" applyAlignment="1">
      <alignment horizontal="center" vertical="center"/>
      <protection/>
    </xf>
    <xf numFmtId="193" fontId="5" fillId="0" borderId="10" xfId="57" applyNumberFormat="1" applyFont="1" applyBorder="1" applyAlignment="1">
      <alignment horizontal="center" vertical="center"/>
      <protection/>
    </xf>
    <xf numFmtId="193" fontId="1" fillId="0" borderId="10" xfId="57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0" fontId="0" fillId="0" borderId="0" xfId="57" applyAlignment="1">
      <alignment horizontal="left" indent="1"/>
      <protection/>
    </xf>
    <xf numFmtId="0" fontId="31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 horizontal="center"/>
    </xf>
    <xf numFmtId="0" fontId="19" fillId="34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90" fontId="5" fillId="0" borderId="10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0" borderId="0" xfId="57" applyFont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925"/>
          <c:w val="0.9095"/>
          <c:h val="0.84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 1'!$C$17:$C$40</c:f>
              <c:numCache/>
            </c:numRef>
          </c:xVal>
          <c:yVal>
            <c:numRef>
              <c:f>'LV 1'!$F$17:$F$40</c:f>
              <c:numCache/>
            </c:numRef>
          </c:yVal>
          <c:smooth val="1"/>
        </c:ser>
        <c:axId val="26885576"/>
        <c:axId val="40643593"/>
      </c:scatterChart>
      <c:valAx>
        <c:axId val="2688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Vreme [min]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3593"/>
        <c:crosses val="autoZero"/>
        <c:crossBetween val="midCat"/>
        <c:dispUnits/>
      </c:valAx>
      <c:valAx>
        <c:axId val="406435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centra cilindra [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5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11675"/>
          <c:w val="0.903"/>
          <c:h val="0.888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 1'!$C$17:$C$36</c:f>
              <c:numCache/>
            </c:numRef>
          </c:xVal>
          <c:yVal>
            <c:numRef>
              <c:f>'LV 1'!$G$17:$G$36</c:f>
              <c:numCache/>
            </c:numRef>
          </c:yVal>
          <c:smooth val="1"/>
        </c:ser>
        <c:axId val="30248018"/>
        <c:axId val="3796707"/>
      </c:scatterChart>
      <c:valAx>
        <c:axId val="3024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Vreme [min]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707"/>
        <c:crosses val="max"/>
        <c:crossBetween val="midCat"/>
        <c:dispUnits/>
      </c:valAx>
      <c:valAx>
        <c:axId val="379670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Bezdimenziona temperatura </a:t>
                </a:r>
                <a:r>
                  <a:rPr lang="en-US" cap="none" sz="1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θ [-]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01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zavisnost stvarnog diferencijalnog pritiska i struje</a:t>
            </a:r>
          </a:p>
        </c:rich>
      </c:tx>
      <c:layout>
        <c:manualLayout>
          <c:xMode val="factor"/>
          <c:yMode val="factor"/>
          <c:x val="0.060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025"/>
          <c:w val="0.8955"/>
          <c:h val="0.78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numRef>
              <c:f>'LV 2'!$G$4:$G$13</c:f>
              <c:numCache/>
            </c:numRef>
          </c:cat>
          <c:val>
            <c:numRef>
              <c:f>'LV 2'!$F$4:$F$13</c:f>
              <c:numCache/>
            </c:numRef>
          </c:val>
          <c:smooth val="0"/>
        </c:ser>
        <c:marker val="1"/>
        <c:axId val="34170364"/>
        <c:axId val="39097821"/>
      </c:lineChart>
      <c:catAx>
        <c:axId val="3417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struja I [mA]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97821"/>
        <c:crosses val="autoZero"/>
        <c:auto val="1"/>
        <c:lblOffset val="100"/>
        <c:tickLblSkip val="1"/>
        <c:noMultiLvlLbl val="0"/>
      </c:catAx>
      <c:valAx>
        <c:axId val="390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diferencijalni pritisak [mbar]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0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0.06375</cdr:y>
    </cdr:from>
    <cdr:to>
      <cdr:x>0.9185</cdr:x>
      <cdr:y>0.95375</cdr:y>
    </cdr:to>
    <cdr:sp>
      <cdr:nvSpPr>
        <cdr:cNvPr id="1" name="Line 1"/>
        <cdr:cNvSpPr>
          <a:spLocks/>
        </cdr:cNvSpPr>
      </cdr:nvSpPr>
      <cdr:spPr>
        <a:xfrm flipH="1" flipV="1">
          <a:off x="1314450" y="200025"/>
          <a:ext cx="5629275" cy="2924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-0.01375</cdr:y>
    </cdr:from>
    <cdr:to>
      <cdr:x>0.45325</cdr:x>
      <cdr:y>-0.01375</cdr:y>
    </cdr:to>
    <cdr:sp>
      <cdr:nvSpPr>
        <cdr:cNvPr id="2" name="Line 2"/>
        <cdr:cNvSpPr>
          <a:spLocks/>
        </cdr:cNvSpPr>
      </cdr:nvSpPr>
      <cdr:spPr>
        <a:xfrm flipV="1">
          <a:off x="3448050" y="-38099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0.8025</cdr:y>
    </cdr:from>
    <cdr:to>
      <cdr:x>0.71725</cdr:x>
      <cdr:y>0.88125</cdr:y>
    </cdr:to>
    <cdr:sp>
      <cdr:nvSpPr>
        <cdr:cNvPr id="3" name="Text Box 3"/>
        <cdr:cNvSpPr txBox="1">
          <a:spLocks noChangeArrowheads="1"/>
        </cdr:cNvSpPr>
      </cdr:nvSpPr>
      <cdr:spPr>
        <a:xfrm>
          <a:off x="3743325" y="2628900"/>
          <a:ext cx="16764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Regularni režim</a:t>
          </a:r>
        </a:p>
      </cdr:txBody>
    </cdr:sp>
  </cdr:relSizeAnchor>
  <cdr:relSizeAnchor xmlns:cdr="http://schemas.openxmlformats.org/drawingml/2006/chartDrawing">
    <cdr:from>
      <cdr:x>0.256</cdr:x>
      <cdr:y>0.6185</cdr:y>
    </cdr:from>
    <cdr:to>
      <cdr:x>0.26525</cdr:x>
      <cdr:y>0.65575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1933575" y="2028825"/>
          <a:ext cx="666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0.9</cdr:y>
    </cdr:from>
    <cdr:to>
      <cdr:x>0.97575</cdr:x>
      <cdr:y>0.9025</cdr:y>
    </cdr:to>
    <cdr:sp>
      <cdr:nvSpPr>
        <cdr:cNvPr id="5" name="Line 6"/>
        <cdr:cNvSpPr>
          <a:spLocks/>
        </cdr:cNvSpPr>
      </cdr:nvSpPr>
      <cdr:spPr>
        <a:xfrm flipH="1">
          <a:off x="3362325" y="2952750"/>
          <a:ext cx="401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9525</xdr:rowOff>
    </xdr:from>
    <xdr:to>
      <xdr:col>10</xdr:col>
      <xdr:colOff>257175</xdr:colOff>
      <xdr:row>61</xdr:row>
      <xdr:rowOff>0</xdr:rowOff>
    </xdr:to>
    <xdr:graphicFrame>
      <xdr:nvGraphicFramePr>
        <xdr:cNvPr id="1" name="Chart 35"/>
        <xdr:cNvGraphicFramePr/>
      </xdr:nvGraphicFramePr>
      <xdr:xfrm>
        <a:off x="28575" y="8067675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10</xdr:col>
      <xdr:colOff>638175</xdr:colOff>
      <xdr:row>82</xdr:row>
      <xdr:rowOff>28575</xdr:rowOff>
    </xdr:to>
    <xdr:graphicFrame>
      <xdr:nvGraphicFramePr>
        <xdr:cNvPr id="2" name="Chart 36"/>
        <xdr:cNvGraphicFramePr/>
      </xdr:nvGraphicFramePr>
      <xdr:xfrm>
        <a:off x="0" y="11344275"/>
        <a:ext cx="75628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19</xdr:row>
      <xdr:rowOff>47625</xdr:rowOff>
    </xdr:from>
    <xdr:to>
      <xdr:col>9</xdr:col>
      <xdr:colOff>581025</xdr:colOff>
      <xdr:row>20</xdr:row>
      <xdr:rowOff>85725</xdr:rowOff>
    </xdr:to>
    <xdr:sp>
      <xdr:nvSpPr>
        <xdr:cNvPr id="3" name="Straight Arrow Connector 2"/>
        <xdr:cNvSpPr>
          <a:spLocks/>
        </xdr:cNvSpPr>
      </xdr:nvSpPr>
      <xdr:spPr>
        <a:xfrm flipV="1">
          <a:off x="6296025" y="395287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28575</xdr:rowOff>
    </xdr:from>
    <xdr:to>
      <xdr:col>7</xdr:col>
      <xdr:colOff>266700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8575" y="2857500"/>
        <a:ext cx="545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161925</xdr:colOff>
      <xdr:row>43</xdr:row>
      <xdr:rowOff>19050</xdr:rowOff>
    </xdr:from>
    <xdr:to>
      <xdr:col>2</xdr:col>
      <xdr:colOff>533400</xdr:colOff>
      <xdr:row>45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103" t="-11364" r="74392" b="29545"/>
        <a:stretch>
          <a:fillRect/>
        </a:stretch>
      </xdr:blipFill>
      <xdr:spPr>
        <a:xfrm>
          <a:off x="628650" y="77914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SheetLayoutView="100" workbookViewId="0" topLeftCell="A34">
      <selection activeCell="H9" sqref="H9"/>
    </sheetView>
  </sheetViews>
  <sheetFormatPr defaultColWidth="9.140625" defaultRowHeight="12.75"/>
  <cols>
    <col min="1" max="1" width="3.421875" style="105" customWidth="1"/>
    <col min="2" max="5" width="9.140625" style="105" customWidth="1"/>
    <col min="6" max="6" width="12.421875" style="105" customWidth="1"/>
    <col min="7" max="9" width="9.140625" style="105" customWidth="1"/>
    <col min="10" max="10" width="4.140625" style="105" customWidth="1"/>
    <col min="11" max="16384" width="9.140625" style="105" customWidth="1"/>
  </cols>
  <sheetData>
    <row r="1" ht="15.75">
      <c r="A1" s="104" t="s">
        <v>113</v>
      </c>
    </row>
    <row r="2" ht="15">
      <c r="A2" s="105" t="s">
        <v>117</v>
      </c>
    </row>
    <row r="4" ht="15.75">
      <c r="B4" s="105" t="s">
        <v>116</v>
      </c>
    </row>
    <row r="5" ht="15">
      <c r="B5" s="108" t="s">
        <v>149</v>
      </c>
    </row>
    <row r="13" spans="1:10" ht="20.25">
      <c r="A13" s="116" t="s">
        <v>111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24" customHeight="1">
      <c r="A14" s="116" t="s">
        <v>112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38" spans="2:7" ht="15.75">
      <c r="B38" s="104" t="s">
        <v>109</v>
      </c>
      <c r="G38" s="104" t="s">
        <v>114</v>
      </c>
    </row>
    <row r="39" spans="2:9" ht="24.75" customHeight="1">
      <c r="B39" s="106"/>
      <c r="C39" s="106"/>
      <c r="D39" s="106"/>
      <c r="G39" s="106" t="s">
        <v>147</v>
      </c>
      <c r="H39" s="106"/>
      <c r="I39" s="106"/>
    </row>
    <row r="40" ht="30" customHeight="1"/>
    <row r="41" spans="2:7" ht="15.75">
      <c r="B41" s="104" t="s">
        <v>110</v>
      </c>
      <c r="G41" s="104" t="s">
        <v>115</v>
      </c>
    </row>
    <row r="42" spans="2:9" ht="24" customHeight="1">
      <c r="B42" s="106"/>
      <c r="C42" s="106"/>
      <c r="D42" s="106"/>
      <c r="G42" s="106" t="s">
        <v>148</v>
      </c>
      <c r="H42" s="106"/>
      <c r="I42" s="107"/>
    </row>
  </sheetData>
  <sheetProtection/>
  <mergeCells count="2">
    <mergeCell ref="A14:J14"/>
    <mergeCell ref="A13:J13"/>
  </mergeCells>
  <printOptions/>
  <pageMargins left="0.9055118110236221" right="0.9055118110236221" top="0.9448818897637796" bottom="0.9448818897637796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95"/>
  <sheetViews>
    <sheetView showGridLines="0" workbookViewId="0" topLeftCell="A1">
      <selection activeCell="I8" sqref="I8"/>
    </sheetView>
  </sheetViews>
  <sheetFormatPr defaultColWidth="9.00390625" defaultRowHeight="12.75"/>
  <cols>
    <col min="1" max="1" width="8.00390625" style="1" customWidth="1"/>
    <col min="2" max="2" width="7.57421875" style="1" customWidth="1"/>
    <col min="3" max="3" width="7.421875" style="1" customWidth="1"/>
    <col min="4" max="4" width="8.421875" style="1" customWidth="1"/>
    <col min="5" max="5" width="10.57421875" style="1" customWidth="1"/>
    <col min="6" max="6" width="8.57421875" style="1" customWidth="1"/>
    <col min="7" max="7" width="11.57421875" style="1" customWidth="1"/>
    <col min="8" max="8" width="9.57421875" style="1" customWidth="1"/>
    <col min="9" max="9" width="14.00390625" style="1" customWidth="1"/>
    <col min="10" max="10" width="18.140625" style="1" customWidth="1"/>
    <col min="11" max="11" width="14.00390625" style="1" customWidth="1"/>
    <col min="12" max="12" width="19.57421875" style="1" customWidth="1"/>
    <col min="13" max="13" width="13.57421875" style="1" customWidth="1"/>
    <col min="14" max="16384" width="9.00390625" style="1" customWidth="1"/>
  </cols>
  <sheetData>
    <row r="1" spans="1:9" ht="18">
      <c r="A1" s="32" t="s">
        <v>124</v>
      </c>
      <c r="B1" s="7"/>
      <c r="C1" s="7"/>
      <c r="D1" s="7"/>
      <c r="E1" s="7"/>
      <c r="F1" s="7"/>
      <c r="G1" s="7"/>
      <c r="H1" s="7"/>
      <c r="I1" s="7"/>
    </row>
    <row r="2" ht="6.75" customHeight="1"/>
    <row r="3" ht="15">
      <c r="A3" s="8" t="s">
        <v>6</v>
      </c>
    </row>
    <row r="4" spans="1:11" ht="15">
      <c r="A4" s="2" t="s">
        <v>7</v>
      </c>
      <c r="B4" s="2">
        <v>55.42</v>
      </c>
      <c r="C4" s="2">
        <v>55.48</v>
      </c>
      <c r="D4" s="2">
        <v>55.46</v>
      </c>
      <c r="E4" s="2">
        <v>55.44</v>
      </c>
      <c r="F4" s="2">
        <v>55.44</v>
      </c>
      <c r="G4" s="17">
        <f>AVERAGE(B4:F4)</f>
        <v>55.448</v>
      </c>
      <c r="H4" s="10"/>
      <c r="J4" s="38"/>
      <c r="K4" s="38"/>
    </row>
    <row r="5" spans="1:11" ht="15">
      <c r="A5" s="2" t="s">
        <v>8</v>
      </c>
      <c r="B5" s="2">
        <v>49.6</v>
      </c>
      <c r="C5" s="2">
        <v>49.44</v>
      </c>
      <c r="D5" s="2">
        <v>49.42</v>
      </c>
      <c r="E5" s="2">
        <v>49.4</v>
      </c>
      <c r="F5" s="2">
        <v>49.4</v>
      </c>
      <c r="G5" s="17">
        <f>AVERAGE(B5:F5)</f>
        <v>49.452</v>
      </c>
      <c r="H5" s="10"/>
      <c r="J5" s="38"/>
      <c r="K5" s="38"/>
    </row>
    <row r="6" spans="10:11" ht="9.75" customHeight="1">
      <c r="J6" s="38"/>
      <c r="K6" s="38"/>
    </row>
    <row r="7" spans="1:11" ht="15">
      <c r="A7" s="8" t="s">
        <v>54</v>
      </c>
      <c r="J7" s="38"/>
      <c r="K7" s="38"/>
    </row>
    <row r="8" spans="1:12" ht="15">
      <c r="A8" s="2" t="s">
        <v>15</v>
      </c>
      <c r="B8" s="128" t="s">
        <v>127</v>
      </c>
      <c r="C8" s="129"/>
      <c r="D8" s="129"/>
      <c r="E8" s="129"/>
      <c r="F8" s="129"/>
      <c r="G8" s="129"/>
      <c r="H8" s="130"/>
      <c r="I8" s="18">
        <f>J19</f>
        <v>26.500015699419617</v>
      </c>
      <c r="J8" s="119" t="s">
        <v>126</v>
      </c>
      <c r="K8" s="119"/>
      <c r="L8" s="119"/>
    </row>
    <row r="9" spans="1:12" ht="15">
      <c r="A9" s="27"/>
      <c r="B9" s="24"/>
      <c r="C9" s="24"/>
      <c r="D9" s="24"/>
      <c r="E9" s="24"/>
      <c r="F9" s="24"/>
      <c r="G9" s="24"/>
      <c r="H9" s="24"/>
      <c r="I9" s="28"/>
      <c r="J9" s="119"/>
      <c r="K9" s="119"/>
      <c r="L9" s="119"/>
    </row>
    <row r="10" spans="1:12" ht="15">
      <c r="A10" s="26" t="s">
        <v>50</v>
      </c>
      <c r="B10" s="28"/>
      <c r="C10" s="26"/>
      <c r="D10" s="24"/>
      <c r="E10" s="24"/>
      <c r="F10" s="29" t="s">
        <v>49</v>
      </c>
      <c r="G10" s="3">
        <v>5</v>
      </c>
      <c r="H10" s="25" t="s">
        <v>3</v>
      </c>
      <c r="J10" s="119"/>
      <c r="K10" s="119"/>
      <c r="L10" s="119"/>
    </row>
    <row r="11" spans="1:12" ht="20.25" customHeight="1">
      <c r="A11" s="4"/>
      <c r="B11" s="4"/>
      <c r="C11" s="4"/>
      <c r="D11" s="4"/>
      <c r="E11" s="4"/>
      <c r="F11" s="35" t="s">
        <v>128</v>
      </c>
      <c r="G11" s="36">
        <v>1</v>
      </c>
      <c r="H11" s="37" t="s">
        <v>129</v>
      </c>
      <c r="J11" s="119"/>
      <c r="K11" s="119"/>
      <c r="L11" s="119"/>
    </row>
    <row r="12" spans="1:8" ht="15" customHeight="1">
      <c r="A12" s="33" t="s">
        <v>51</v>
      </c>
      <c r="B12" s="4"/>
      <c r="C12" s="4"/>
      <c r="D12" s="4"/>
      <c r="E12" s="4"/>
      <c r="F12" s="31"/>
      <c r="G12" s="34">
        <v>12</v>
      </c>
      <c r="H12" s="1" t="s">
        <v>52</v>
      </c>
    </row>
    <row r="13" spans="1:7" ht="9.75" customHeight="1">
      <c r="A13" s="4"/>
      <c r="B13" s="4"/>
      <c r="C13" s="4"/>
      <c r="D13" s="4"/>
      <c r="E13" s="4"/>
      <c r="F13" s="31"/>
      <c r="G13" s="30"/>
    </row>
    <row r="14" spans="1:12" ht="15" customHeight="1">
      <c r="A14" s="8" t="s">
        <v>48</v>
      </c>
      <c r="I14" s="131"/>
      <c r="J14" s="131"/>
      <c r="K14" s="118" t="s">
        <v>17</v>
      </c>
      <c r="L14" s="118"/>
    </row>
    <row r="15" spans="1:12" ht="48.75" customHeight="1">
      <c r="A15" s="120" t="s">
        <v>12</v>
      </c>
      <c r="B15" s="120"/>
      <c r="C15" s="16" t="s">
        <v>9</v>
      </c>
      <c r="D15" s="16" t="s">
        <v>11</v>
      </c>
      <c r="E15" s="16" t="s">
        <v>10</v>
      </c>
      <c r="F15" s="16" t="s">
        <v>13</v>
      </c>
      <c r="G15" s="16" t="s">
        <v>132</v>
      </c>
      <c r="H15" s="16" t="s">
        <v>19</v>
      </c>
      <c r="I15" s="121" t="s">
        <v>130</v>
      </c>
      <c r="J15" s="123" t="s">
        <v>47</v>
      </c>
      <c r="K15" s="117" t="s">
        <v>125</v>
      </c>
      <c r="L15" s="117"/>
    </row>
    <row r="16" spans="1:14" ht="16.5">
      <c r="A16" s="19" t="s">
        <v>2</v>
      </c>
      <c r="B16" s="19" t="s">
        <v>0</v>
      </c>
      <c r="C16" s="19" t="s">
        <v>4</v>
      </c>
      <c r="D16" s="19" t="s">
        <v>3</v>
      </c>
      <c r="E16" s="19" t="s">
        <v>5</v>
      </c>
      <c r="F16" s="19" t="s">
        <v>63</v>
      </c>
      <c r="G16" s="19" t="s">
        <v>18</v>
      </c>
      <c r="H16" s="19" t="s">
        <v>18</v>
      </c>
      <c r="I16" s="122"/>
      <c r="J16" s="124"/>
      <c r="K16" s="117"/>
      <c r="L16" s="117"/>
      <c r="M16" s="23"/>
      <c r="N16"/>
    </row>
    <row r="17" spans="1:13" ht="14.25">
      <c r="A17" s="20">
        <v>0</v>
      </c>
      <c r="B17" s="21">
        <v>59</v>
      </c>
      <c r="C17" s="21">
        <f>A17/G12*60</f>
        <v>0</v>
      </c>
      <c r="D17" s="9">
        <f>B17/100*G10</f>
        <v>2.9499999999999997</v>
      </c>
      <c r="E17" s="13">
        <f>D17/1000+I19</f>
        <v>0.0040344874062547996</v>
      </c>
      <c r="F17" s="21">
        <f aca="true" t="shared" si="0" ref="F17:F40">$J$24+$J$25*E17+$J$26*E17^2+$J$27*E17^3+$J$28*E17^4+$J$29*E17^5+$J$30*E17^6+$J$31*E17^7+$J$32*E17^8</f>
        <v>98.72618527037031</v>
      </c>
      <c r="G17" s="13">
        <f aca="true" t="shared" si="1" ref="G17:G40">(F17-$I$8)/($F$17-$I$8)</f>
        <v>1</v>
      </c>
      <c r="H17" s="13">
        <f>LN(G17)</f>
        <v>0</v>
      </c>
      <c r="I17" s="122"/>
      <c r="J17" s="124"/>
      <c r="K17" s="117"/>
      <c r="L17" s="117"/>
      <c r="M17" s="23"/>
    </row>
    <row r="18" spans="1:13" ht="14.25">
      <c r="A18" s="20">
        <v>0.5</v>
      </c>
      <c r="B18" s="21">
        <v>58.7</v>
      </c>
      <c r="C18" s="21">
        <f>A18/G12*60</f>
        <v>2.5</v>
      </c>
      <c r="D18" s="9">
        <f>B18/100*G10</f>
        <v>2.9350000000000005</v>
      </c>
      <c r="E18" s="13">
        <f>D18/1000+I19</f>
        <v>0.0040194874062548</v>
      </c>
      <c r="F18" s="21">
        <f t="shared" si="0"/>
        <v>98.35669485296081</v>
      </c>
      <c r="G18" s="13">
        <f t="shared" si="1"/>
        <v>0.9948842584397816</v>
      </c>
      <c r="H18" s="13">
        <f aca="true" t="shared" si="2" ref="H18:H40">LN(G18)</f>
        <v>-0.005128871765708565</v>
      </c>
      <c r="I18" s="122"/>
      <c r="J18" s="125"/>
      <c r="K18" s="117"/>
      <c r="L18" s="117"/>
      <c r="M18" s="23"/>
    </row>
    <row r="19" spans="1:13" ht="14.25">
      <c r="A19" s="20">
        <v>1</v>
      </c>
      <c r="B19" s="21">
        <v>58.2</v>
      </c>
      <c r="C19" s="21">
        <f>A19/G12*60</f>
        <v>5</v>
      </c>
      <c r="D19" s="9">
        <f>B19/100*G10</f>
        <v>2.91</v>
      </c>
      <c r="E19" s="13">
        <f>D19/1000+I19</f>
        <v>0.0039944874062547995</v>
      </c>
      <c r="F19" s="21">
        <f t="shared" si="0"/>
        <v>97.74091502890333</v>
      </c>
      <c r="G19" s="13">
        <f>(F19-$I$8)/($F$17-$I$8)</f>
        <v>0.9863585422386396</v>
      </c>
      <c r="H19" s="13">
        <f t="shared" si="2"/>
        <v>-0.013735357375926275</v>
      </c>
      <c r="I19" s="11">
        <v>0.0010844874062547994</v>
      </c>
      <c r="J19" s="113">
        <f>$J$24+$J$25*I19+$J$26*I19^2+$J$27*I19^3+$J$28*I19^4+$J$29*I19^5+$J$30*I19^6+$J$31*I19^7+$J$32*I19^8</f>
        <v>26.500015699419617</v>
      </c>
      <c r="K19" s="117"/>
      <c r="L19" s="117"/>
      <c r="M19" s="23"/>
    </row>
    <row r="20" spans="1:13" ht="14.25">
      <c r="A20" s="20">
        <v>1.5</v>
      </c>
      <c r="B20" s="21">
        <v>55.5</v>
      </c>
      <c r="C20" s="21">
        <f>A20/G12*60</f>
        <v>7.5</v>
      </c>
      <c r="D20" s="9">
        <f>B20/100*G10</f>
        <v>2.7750000000000004</v>
      </c>
      <c r="E20" s="13">
        <f>D20/1000+I19</f>
        <v>0.0038594874062547998</v>
      </c>
      <c r="F20" s="21">
        <f t="shared" si="0"/>
        <v>94.41653450187013</v>
      </c>
      <c r="G20" s="13">
        <f t="shared" si="1"/>
        <v>0.9403311736715232</v>
      </c>
      <c r="H20" s="13">
        <f t="shared" si="2"/>
        <v>-0.06152315334901989</v>
      </c>
      <c r="J20" s="22"/>
      <c r="K20" s="117"/>
      <c r="L20" s="117"/>
      <c r="M20" s="23"/>
    </row>
    <row r="21" spans="1:13" ht="14.25" customHeight="1">
      <c r="A21" s="20">
        <v>2</v>
      </c>
      <c r="B21" s="21">
        <v>50.5</v>
      </c>
      <c r="C21" s="21">
        <f>A21/G12*60</f>
        <v>10</v>
      </c>
      <c r="D21" s="9">
        <f>B21/100*G10</f>
        <v>2.525</v>
      </c>
      <c r="E21" s="13">
        <f>D21/1000+I19</f>
        <v>0.0036094874062547995</v>
      </c>
      <c r="F21" s="21">
        <f t="shared" si="0"/>
        <v>88.26417802494268</v>
      </c>
      <c r="G21" s="13">
        <f t="shared" si="1"/>
        <v>0.8551493550388218</v>
      </c>
      <c r="H21" s="13">
        <f t="shared" si="2"/>
        <v>-0.15647914104496294</v>
      </c>
      <c r="J21" s="132" t="s">
        <v>131</v>
      </c>
      <c r="K21" s="117"/>
      <c r="L21" s="117"/>
      <c r="M21" s="23"/>
    </row>
    <row r="22" spans="1:13" ht="14.25">
      <c r="A22" s="20">
        <v>2.5</v>
      </c>
      <c r="B22" s="21">
        <v>44.2</v>
      </c>
      <c r="C22" s="21">
        <f>A22/G12*60</f>
        <v>12.5</v>
      </c>
      <c r="D22" s="9">
        <f>B22/100*G10</f>
        <v>2.21</v>
      </c>
      <c r="E22" s="13">
        <f>D22/1000+I19</f>
        <v>0.0032944874062547994</v>
      </c>
      <c r="F22" s="21">
        <f t="shared" si="0"/>
        <v>80.52005175811013</v>
      </c>
      <c r="G22" s="13">
        <f t="shared" si="1"/>
        <v>0.7479288515449298</v>
      </c>
      <c r="H22" s="13">
        <f t="shared" si="2"/>
        <v>-0.29044742378712934</v>
      </c>
      <c r="I22" s="110"/>
      <c r="J22" s="132"/>
      <c r="K22" s="117"/>
      <c r="L22" s="117"/>
      <c r="M22" s="23"/>
    </row>
    <row r="23" spans="1:13" ht="14.25">
      <c r="A23" s="20">
        <v>3</v>
      </c>
      <c r="B23" s="21">
        <v>38.3</v>
      </c>
      <c r="C23" s="21">
        <f>A23/G12*60</f>
        <v>15</v>
      </c>
      <c r="D23" s="9">
        <f>B23/100*G10</f>
        <v>1.9149999999999998</v>
      </c>
      <c r="E23" s="13">
        <f>D23/1000+I19</f>
        <v>0.0029994874062547992</v>
      </c>
      <c r="F23" s="21">
        <f t="shared" si="0"/>
        <v>73.2762900398686</v>
      </c>
      <c r="G23" s="13">
        <f t="shared" si="1"/>
        <v>0.6476360939298983</v>
      </c>
      <c r="H23" s="13">
        <f t="shared" si="2"/>
        <v>-0.4344263238184197</v>
      </c>
      <c r="I23" s="110"/>
      <c r="J23" s="133"/>
      <c r="K23" s="117"/>
      <c r="L23" s="117"/>
      <c r="M23" s="23"/>
    </row>
    <row r="24" spans="1:13" ht="14.25">
      <c r="A24" s="20">
        <f aca="true" t="shared" si="3" ref="A24:A29">A23+0.5</f>
        <v>3.5</v>
      </c>
      <c r="B24" s="21">
        <v>32</v>
      </c>
      <c r="C24" s="21">
        <f>A24/G12*60</f>
        <v>17.5</v>
      </c>
      <c r="D24" s="9">
        <f>B24/100*G10</f>
        <v>1.6</v>
      </c>
      <c r="E24" s="13">
        <f>D24/1000+I19</f>
        <v>0.0026844874062547995</v>
      </c>
      <c r="F24" s="21">
        <f t="shared" si="0"/>
        <v>65.5514919928436</v>
      </c>
      <c r="G24" s="13">
        <f t="shared" si="1"/>
        <v>0.54068319731482</v>
      </c>
      <c r="H24" s="13">
        <f t="shared" si="2"/>
        <v>-0.6149217588772626</v>
      </c>
      <c r="I24" s="110"/>
      <c r="J24" s="12">
        <v>0.226584602</v>
      </c>
      <c r="K24" s="117"/>
      <c r="L24" s="117"/>
      <c r="M24" s="23"/>
    </row>
    <row r="25" spans="1:12" ht="14.25">
      <c r="A25" s="20">
        <f t="shared" si="3"/>
        <v>4</v>
      </c>
      <c r="B25" s="21">
        <v>27.1</v>
      </c>
      <c r="C25" s="21">
        <f>A25/G12*60</f>
        <v>20</v>
      </c>
      <c r="D25" s="9">
        <f>B25/100*G10</f>
        <v>1.355</v>
      </c>
      <c r="E25" s="13">
        <f>D25/1000+I19</f>
        <v>0.0024394874062547995</v>
      </c>
      <c r="F25" s="21">
        <f t="shared" si="0"/>
        <v>59.55099516296475</v>
      </c>
      <c r="G25" s="13">
        <f t="shared" si="1"/>
        <v>0.4576039358016601</v>
      </c>
      <c r="H25" s="13">
        <f t="shared" si="2"/>
        <v>-0.7817512379883708</v>
      </c>
      <c r="I25" s="110"/>
      <c r="J25" s="12">
        <v>24152.109</v>
      </c>
      <c r="K25" s="117"/>
      <c r="L25" s="117"/>
    </row>
    <row r="26" spans="1:12" ht="14.25">
      <c r="A26" s="20">
        <f t="shared" si="3"/>
        <v>4.5</v>
      </c>
      <c r="B26" s="21">
        <v>22.9</v>
      </c>
      <c r="C26" s="21">
        <f>A26/G12*60</f>
        <v>22.5</v>
      </c>
      <c r="D26" s="9">
        <f>B26/100*G10</f>
        <v>1.145</v>
      </c>
      <c r="E26" s="13">
        <f>D26/1000+I19</f>
        <v>0.0022294874062547994</v>
      </c>
      <c r="F26" s="21">
        <f t="shared" si="0"/>
        <v>54.41334347484789</v>
      </c>
      <c r="G26" s="13">
        <f t="shared" si="1"/>
        <v>0.3864711079272712</v>
      </c>
      <c r="H26" s="13">
        <f t="shared" si="2"/>
        <v>-0.9506981668477228</v>
      </c>
      <c r="I26" s="110"/>
      <c r="J26" s="12">
        <v>67233.4248</v>
      </c>
      <c r="K26" s="117"/>
      <c r="L26" s="117"/>
    </row>
    <row r="27" spans="1:12" ht="14.25">
      <c r="A27" s="20">
        <f t="shared" si="3"/>
        <v>5</v>
      </c>
      <c r="B27" s="21">
        <v>19</v>
      </c>
      <c r="C27" s="21">
        <f>A27/G12*60</f>
        <v>25</v>
      </c>
      <c r="D27" s="9">
        <f>B27/100*G10</f>
        <v>0.95</v>
      </c>
      <c r="E27" s="13">
        <f>D27/1000+I19</f>
        <v>0.0020344874062547995</v>
      </c>
      <c r="F27" s="21">
        <f t="shared" si="0"/>
        <v>49.64750086731011</v>
      </c>
      <c r="G27" s="13">
        <f t="shared" si="1"/>
        <v>0.32048612442546576</v>
      </c>
      <c r="H27" s="13">
        <f t="shared" si="2"/>
        <v>-1.1379162970828918</v>
      </c>
      <c r="I27" s="110"/>
      <c r="J27" s="12">
        <v>2210340.68</v>
      </c>
      <c r="K27" s="117"/>
      <c r="L27" s="117"/>
    </row>
    <row r="28" spans="1:12" ht="14.25">
      <c r="A28" s="20">
        <f t="shared" si="3"/>
        <v>5.5</v>
      </c>
      <c r="B28" s="21">
        <v>15.4</v>
      </c>
      <c r="C28" s="21">
        <f>A28/G12*60</f>
        <v>27.5</v>
      </c>
      <c r="D28" s="9">
        <f>B28/100*G10</f>
        <v>0.77</v>
      </c>
      <c r="E28" s="13">
        <f>D28/1000+I19</f>
        <v>0.0018544874062547995</v>
      </c>
      <c r="F28" s="21">
        <f t="shared" si="0"/>
        <v>45.25251803625474</v>
      </c>
      <c r="G28" s="13">
        <f t="shared" si="1"/>
        <v>0.25963584180404004</v>
      </c>
      <c r="H28" s="13">
        <f t="shared" si="2"/>
        <v>-1.3484752381814415</v>
      </c>
      <c r="I28" s="110"/>
      <c r="J28" s="12">
        <v>-860963915</v>
      </c>
      <c r="K28" s="117"/>
      <c r="L28" s="117"/>
    </row>
    <row r="29" spans="1:12" ht="14.25">
      <c r="A29" s="20">
        <f t="shared" si="3"/>
        <v>6</v>
      </c>
      <c r="B29" s="13">
        <v>12.4</v>
      </c>
      <c r="C29" s="21">
        <f>A29/G12*60</f>
        <v>30</v>
      </c>
      <c r="D29" s="9">
        <f>B29/100*G10</f>
        <v>0.62</v>
      </c>
      <c r="E29" s="13">
        <f>D29/1000+I19</f>
        <v>0.0017044874062547995</v>
      </c>
      <c r="F29" s="21">
        <f t="shared" si="0"/>
        <v>41.593227659856</v>
      </c>
      <c r="G29" s="13">
        <f t="shared" si="1"/>
        <v>0.20897151337382924</v>
      </c>
      <c r="H29" s="13">
        <f t="shared" si="2"/>
        <v>-1.5655573359537172</v>
      </c>
      <c r="I29" s="110"/>
      <c r="J29" s="12">
        <v>48350600000</v>
      </c>
      <c r="K29" s="117"/>
      <c r="L29" s="117"/>
    </row>
    <row r="30" spans="1:12" ht="14.25">
      <c r="A30" s="20">
        <v>6.5</v>
      </c>
      <c r="B30" s="21">
        <v>10</v>
      </c>
      <c r="C30" s="21">
        <f>A30/G12*60</f>
        <v>32.5</v>
      </c>
      <c r="D30" s="9">
        <f>B30/100*G10</f>
        <v>0.5</v>
      </c>
      <c r="E30" s="13">
        <f>D30/1000+I19</f>
        <v>0.0015844874062547994</v>
      </c>
      <c r="F30" s="21">
        <f t="shared" si="0"/>
        <v>38.66792390799601</v>
      </c>
      <c r="G30" s="13">
        <f t="shared" si="1"/>
        <v>0.16846952123943618</v>
      </c>
      <c r="H30" s="13">
        <f t="shared" si="2"/>
        <v>-1.7810004284030077</v>
      </c>
      <c r="I30" s="110"/>
      <c r="J30" s="12">
        <v>-1184520000000</v>
      </c>
      <c r="K30" s="117"/>
      <c r="L30" s="117"/>
    </row>
    <row r="31" spans="1:12" ht="14.25">
      <c r="A31" s="20">
        <v>7</v>
      </c>
      <c r="B31" s="21">
        <v>8.1</v>
      </c>
      <c r="C31" s="21">
        <f>A31/G12*60</f>
        <v>35</v>
      </c>
      <c r="D31" s="9">
        <f>B31/100*G10</f>
        <v>0.405</v>
      </c>
      <c r="E31" s="13">
        <f>D31/1000+I19</f>
        <v>0.0014894874062547994</v>
      </c>
      <c r="F31" s="21">
        <f t="shared" si="0"/>
        <v>36.353417229860824</v>
      </c>
      <c r="G31" s="13">
        <f t="shared" si="1"/>
        <v>0.1364242571490907</v>
      </c>
      <c r="H31" s="13">
        <f t="shared" si="2"/>
        <v>-1.9919857110476955</v>
      </c>
      <c r="I31" s="110"/>
      <c r="J31" s="12">
        <v>13869000000000</v>
      </c>
      <c r="K31" s="117"/>
      <c r="L31" s="117"/>
    </row>
    <row r="32" spans="1:12" ht="14.25">
      <c r="A32" s="20">
        <v>8</v>
      </c>
      <c r="B32" s="21">
        <v>5.3</v>
      </c>
      <c r="C32" s="21">
        <f>A32/G12*60</f>
        <v>40</v>
      </c>
      <c r="D32" s="9">
        <f>B32/100*G10</f>
        <v>0.265</v>
      </c>
      <c r="E32" s="13">
        <f>D32/1000+I19</f>
        <v>0.0013494874062547995</v>
      </c>
      <c r="F32" s="21">
        <f t="shared" si="0"/>
        <v>32.94477748612475</v>
      </c>
      <c r="G32" s="13">
        <f t="shared" si="1"/>
        <v>0.08923028626589677</v>
      </c>
      <c r="H32" s="13">
        <f t="shared" si="2"/>
        <v>-2.416534764895275</v>
      </c>
      <c r="I32" s="110"/>
      <c r="J32" s="12">
        <v>-63370800000000</v>
      </c>
      <c r="K32" s="117"/>
      <c r="L32" s="117"/>
    </row>
    <row r="33" spans="1:12" ht="14.25">
      <c r="A33" s="20">
        <v>9</v>
      </c>
      <c r="B33" s="21">
        <v>3.4</v>
      </c>
      <c r="C33" s="21">
        <f>A33/G12*60</f>
        <v>45</v>
      </c>
      <c r="D33" s="9">
        <f>B33/100*G10</f>
        <v>0.17</v>
      </c>
      <c r="E33" s="13">
        <f>D33/1000+I19</f>
        <v>0.0012544874062547994</v>
      </c>
      <c r="F33" s="21">
        <f t="shared" si="0"/>
        <v>30.63328611239993</v>
      </c>
      <c r="G33" s="13">
        <f t="shared" si="1"/>
        <v>0.0572267702625436</v>
      </c>
      <c r="H33" s="13">
        <f t="shared" si="2"/>
        <v>-2.8607334784967176</v>
      </c>
      <c r="I33" s="110"/>
      <c r="J33" s="109"/>
      <c r="K33" s="117"/>
      <c r="L33" s="117"/>
    </row>
    <row r="34" spans="1:12" ht="14.25">
      <c r="A34" s="20">
        <v>10</v>
      </c>
      <c r="B34" s="21">
        <v>2.2</v>
      </c>
      <c r="C34" s="21">
        <f>A34/G12*60</f>
        <v>50</v>
      </c>
      <c r="D34" s="9">
        <f>B34/100*G10</f>
        <v>0.11000000000000001</v>
      </c>
      <c r="E34" s="13">
        <f>D34/1000+I19</f>
        <v>0.0011944874062547995</v>
      </c>
      <c r="F34" s="21">
        <f t="shared" si="0"/>
        <v>29.1740318367592</v>
      </c>
      <c r="G34" s="13">
        <f t="shared" si="1"/>
        <v>0.037022815320599145</v>
      </c>
      <c r="H34" s="13">
        <f t="shared" si="2"/>
        <v>-3.296220926089786</v>
      </c>
      <c r="I34" s="110"/>
      <c r="J34" s="109"/>
      <c r="K34" s="117"/>
      <c r="L34" s="117"/>
    </row>
    <row r="35" spans="1:12" ht="14.25">
      <c r="A35" s="20">
        <v>11</v>
      </c>
      <c r="B35" s="21">
        <v>1.4</v>
      </c>
      <c r="C35" s="21">
        <f>A35/G12*60</f>
        <v>55</v>
      </c>
      <c r="D35" s="9">
        <f>B35/100*G10</f>
        <v>0.06999999999999999</v>
      </c>
      <c r="E35" s="13">
        <f>D35/1000+I19</f>
        <v>0.0011544874062547994</v>
      </c>
      <c r="F35" s="21">
        <f t="shared" si="0"/>
        <v>28.201469834606762</v>
      </c>
      <c r="G35" s="13">
        <f t="shared" si="1"/>
        <v>0.02355730817921526</v>
      </c>
      <c r="H35" s="13">
        <f t="shared" si="2"/>
        <v>-3.748319180579562</v>
      </c>
      <c r="I35" s="110"/>
      <c r="J35" s="109"/>
      <c r="K35" s="117"/>
      <c r="L35" s="117"/>
    </row>
    <row r="36" spans="1:12" ht="14.25">
      <c r="A36" s="20">
        <v>12</v>
      </c>
      <c r="B36" s="21">
        <v>0.95</v>
      </c>
      <c r="C36" s="21">
        <f>A36/G12*60</f>
        <v>60</v>
      </c>
      <c r="D36" s="9">
        <f>B36/100*G10</f>
        <v>0.0475</v>
      </c>
      <c r="E36" s="13">
        <f>D36/1000+I19</f>
        <v>0.0011319874062547994</v>
      </c>
      <c r="F36" s="21">
        <f t="shared" si="0"/>
        <v>27.654500311780588</v>
      </c>
      <c r="G36" s="13">
        <f t="shared" si="1"/>
        <v>0.01598429792440916</v>
      </c>
      <c r="H36" s="13">
        <f t="shared" si="2"/>
        <v>-4.1361484183351545</v>
      </c>
      <c r="I36" s="110"/>
      <c r="J36" s="109"/>
      <c r="K36" s="117"/>
      <c r="L36" s="117"/>
    </row>
    <row r="37" spans="1:12" ht="14.25">
      <c r="A37" s="20">
        <v>13</v>
      </c>
      <c r="B37" s="21">
        <v>0.5</v>
      </c>
      <c r="C37" s="21">
        <f>A37/G12*60</f>
        <v>65</v>
      </c>
      <c r="D37" s="9">
        <f>B37/100*G10</f>
        <v>0.025</v>
      </c>
      <c r="E37" s="13">
        <f>D37/1000+I19</f>
        <v>0.0011094874062547995</v>
      </c>
      <c r="F37" s="21">
        <f t="shared" si="0"/>
        <v>27.10760044150068</v>
      </c>
      <c r="G37" s="13">
        <f t="shared" si="1"/>
        <v>0.008412252036766361</v>
      </c>
      <c r="H37" s="13">
        <f t="shared" si="2"/>
        <v>-4.778066060015824</v>
      </c>
      <c r="I37" s="110"/>
      <c r="J37" s="109"/>
      <c r="K37" s="117"/>
      <c r="L37" s="117"/>
    </row>
    <row r="38" spans="1:12" ht="14.25">
      <c r="A38" s="20">
        <v>14</v>
      </c>
      <c r="B38" s="21">
        <v>0.3</v>
      </c>
      <c r="C38" s="21">
        <f>A38/G12*60</f>
        <v>70</v>
      </c>
      <c r="D38" s="9">
        <f>B38/100*G10</f>
        <v>0.015</v>
      </c>
      <c r="E38" s="13">
        <f>D38/1000+I19</f>
        <v>0.0010994874062547995</v>
      </c>
      <c r="F38" s="21">
        <f t="shared" si="0"/>
        <v>26.864556209439186</v>
      </c>
      <c r="G38" s="13">
        <f t="shared" si="1"/>
        <v>0.005047208126709069</v>
      </c>
      <c r="H38" s="13">
        <f t="shared" si="2"/>
        <v>-5.288920034766898</v>
      </c>
      <c r="I38" s="111"/>
      <c r="J38" s="112"/>
      <c r="K38" s="117"/>
      <c r="L38" s="117"/>
    </row>
    <row r="39" spans="1:12" ht="14.25">
      <c r="A39" s="20">
        <v>15</v>
      </c>
      <c r="B39" s="21">
        <v>0.2</v>
      </c>
      <c r="C39" s="21">
        <f>A39/G12*60</f>
        <v>75</v>
      </c>
      <c r="D39" s="9">
        <f>B39/100*G10</f>
        <v>0.01</v>
      </c>
      <c r="E39" s="13">
        <f>D39/1000+I19</f>
        <v>0.0010944874062547994</v>
      </c>
      <c r="F39" s="21">
        <f t="shared" si="0"/>
        <v>26.743039260260787</v>
      </c>
      <c r="G39" s="13">
        <f t="shared" si="1"/>
        <v>0.003364757708803013</v>
      </c>
      <c r="H39" s="13">
        <f t="shared" si="2"/>
        <v>-5.694399321805295</v>
      </c>
      <c r="I39" s="126" t="s">
        <v>53</v>
      </c>
      <c r="J39" s="126"/>
      <c r="K39" s="117"/>
      <c r="L39" s="117"/>
    </row>
    <row r="40" spans="1:12" ht="14.25">
      <c r="A40" s="20">
        <v>16</v>
      </c>
      <c r="B40" s="21">
        <v>0.05</v>
      </c>
      <c r="C40" s="21">
        <f>A40/G12*60</f>
        <v>80</v>
      </c>
      <c r="D40" s="9">
        <f>B40/100*G10</f>
        <v>0.0025</v>
      </c>
      <c r="E40" s="13">
        <f>D40/1000+I19</f>
        <v>0.0010869874062547993</v>
      </c>
      <c r="F40" s="21">
        <f t="shared" si="0"/>
        <v>26.56077029720553</v>
      </c>
      <c r="G40" s="13">
        <f t="shared" si="1"/>
        <v>0.0008411715330719681</v>
      </c>
      <c r="H40" s="13">
        <f t="shared" si="2"/>
        <v>-7.080714955564302</v>
      </c>
      <c r="I40" s="127">
        <f>-(H29-H34)/(60*(C29-C34))</f>
        <v>0.0014422196584467242</v>
      </c>
      <c r="J40" s="127"/>
      <c r="K40" s="117"/>
      <c r="L40" s="117"/>
    </row>
    <row r="42" ht="15">
      <c r="A42" s="8" t="s">
        <v>14</v>
      </c>
    </row>
    <row r="62" ht="15">
      <c r="A62" s="8" t="s">
        <v>55</v>
      </c>
    </row>
    <row r="85" ht="15">
      <c r="B85" s="8" t="s">
        <v>16</v>
      </c>
    </row>
    <row r="86" ht="14.25">
      <c r="B86" s="1" t="s">
        <v>64</v>
      </c>
    </row>
    <row r="87" ht="14.25">
      <c r="B87" s="1" t="s">
        <v>118</v>
      </c>
    </row>
    <row r="88" ht="14.25">
      <c r="B88" s="1" t="s">
        <v>119</v>
      </c>
    </row>
    <row r="89" ht="14.25">
      <c r="B89" s="1" t="s">
        <v>120</v>
      </c>
    </row>
    <row r="90" ht="16.5">
      <c r="B90" s="1" t="s">
        <v>133</v>
      </c>
    </row>
    <row r="92" ht="14.25">
      <c r="B92" s="1" t="s">
        <v>134</v>
      </c>
    </row>
    <row r="93" ht="14.25">
      <c r="B93" s="114" t="s">
        <v>135</v>
      </c>
    </row>
    <row r="94" ht="14.25">
      <c r="B94" s="114" t="s">
        <v>136</v>
      </c>
    </row>
    <row r="95" ht="14.25">
      <c r="B95" s="114" t="s">
        <v>137</v>
      </c>
    </row>
  </sheetData>
  <sheetProtection/>
  <mergeCells count="11">
    <mergeCell ref="J21:J23"/>
    <mergeCell ref="K15:L40"/>
    <mergeCell ref="K14:L14"/>
    <mergeCell ref="J8:L11"/>
    <mergeCell ref="A15:B15"/>
    <mergeCell ref="I15:I18"/>
    <mergeCell ref="J15:J18"/>
    <mergeCell ref="I39:J39"/>
    <mergeCell ref="I40:J40"/>
    <mergeCell ref="B8:H8"/>
    <mergeCell ref="I14:J14"/>
  </mergeCells>
  <printOptions/>
  <pageMargins left="0.75" right="0.75" top="1" bottom="1" header="0.5" footer="0.5"/>
  <pageSetup horizontalDpi="600" verticalDpi="600" orientation="portrait" scale="66" r:id="rId5"/>
  <rowBreaks count="1" manualBreakCount="1">
    <brk id="61" max="255" man="1"/>
  </rowBreaks>
  <drawing r:id="rId4"/>
  <legacyDrawing r:id="rId3"/>
  <oleObjects>
    <oleObject progId="Equation.3" shapeId="6433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I3" sqref="I3"/>
    </sheetView>
  </sheetViews>
  <sheetFormatPr defaultColWidth="9.140625" defaultRowHeight="12.75"/>
  <cols>
    <col min="1" max="1" width="7.00390625" style="69" customWidth="1"/>
    <col min="2" max="2" width="10.57421875" style="69" customWidth="1"/>
    <col min="3" max="3" width="11.140625" style="69" customWidth="1"/>
    <col min="4" max="4" width="10.421875" style="69" customWidth="1"/>
    <col min="5" max="5" width="10.57421875" style="69" customWidth="1"/>
    <col min="6" max="6" width="19.421875" style="69" customWidth="1"/>
    <col min="7" max="16384" width="9.140625" style="69" customWidth="1"/>
  </cols>
  <sheetData>
    <row r="1" ht="23.25" customHeight="1">
      <c r="A1" s="81" t="s">
        <v>65</v>
      </c>
    </row>
    <row r="2" ht="18.75" customHeight="1">
      <c r="A2" s="70" t="s">
        <v>66</v>
      </c>
    </row>
    <row r="3" spans="1:8" ht="38.25" customHeight="1">
      <c r="A3" s="82" t="s">
        <v>32</v>
      </c>
      <c r="B3" s="134" t="s">
        <v>97</v>
      </c>
      <c r="C3" s="134"/>
      <c r="D3" s="134" t="s">
        <v>98</v>
      </c>
      <c r="E3" s="134"/>
      <c r="F3" s="83" t="s">
        <v>67</v>
      </c>
      <c r="G3" s="135" t="s">
        <v>68</v>
      </c>
      <c r="H3" s="135"/>
    </row>
    <row r="4" spans="1:8" ht="14.25">
      <c r="A4" s="82">
        <v>1</v>
      </c>
      <c r="B4" s="82">
        <v>0.1</v>
      </c>
      <c r="C4" s="82">
        <v>0.1</v>
      </c>
      <c r="D4" s="84">
        <v>0.0979</v>
      </c>
      <c r="E4" s="84">
        <v>0.0981</v>
      </c>
      <c r="F4" s="85">
        <f>0.980665*1000*B4</f>
        <v>98.0665</v>
      </c>
      <c r="G4" s="84">
        <f>D4/10</f>
        <v>0.00979</v>
      </c>
      <c r="H4" s="84">
        <f>E4/10</f>
        <v>0.009810000000000001</v>
      </c>
    </row>
    <row r="5" spans="1:8" ht="14.25">
      <c r="A5" s="82">
        <v>2</v>
      </c>
      <c r="B5" s="82">
        <v>0.2</v>
      </c>
      <c r="C5" s="82">
        <v>0.2</v>
      </c>
      <c r="D5" s="84">
        <v>0.1245</v>
      </c>
      <c r="E5" s="84">
        <v>0.125</v>
      </c>
      <c r="F5" s="85">
        <f aca="true" t="shared" si="0" ref="F5:F13">0.980665*1000*B5</f>
        <v>196.133</v>
      </c>
      <c r="G5" s="84">
        <f aca="true" t="shared" si="1" ref="G5:H13">D5/10</f>
        <v>0.01245</v>
      </c>
      <c r="H5" s="84">
        <f t="shared" si="1"/>
        <v>0.0125</v>
      </c>
    </row>
    <row r="6" spans="1:8" ht="14.25">
      <c r="A6" s="82">
        <v>3</v>
      </c>
      <c r="B6" s="82">
        <v>0.3</v>
      </c>
      <c r="C6" s="82">
        <v>0.3</v>
      </c>
      <c r="D6" s="84">
        <v>0.1511</v>
      </c>
      <c r="E6" s="84">
        <v>0.1514</v>
      </c>
      <c r="F6" s="85">
        <f t="shared" si="0"/>
        <v>294.1995</v>
      </c>
      <c r="G6" s="84">
        <f t="shared" si="1"/>
        <v>0.015110000000000002</v>
      </c>
      <c r="H6" s="84">
        <f t="shared" si="1"/>
        <v>0.01514</v>
      </c>
    </row>
    <row r="7" spans="1:8" ht="14.25">
      <c r="A7" s="82">
        <v>4</v>
      </c>
      <c r="B7" s="82">
        <v>0.4</v>
      </c>
      <c r="C7" s="82">
        <v>0.4</v>
      </c>
      <c r="D7" s="84">
        <v>0.1778</v>
      </c>
      <c r="E7" s="84">
        <v>0.1782</v>
      </c>
      <c r="F7" s="85">
        <f t="shared" si="0"/>
        <v>392.266</v>
      </c>
      <c r="G7" s="84">
        <f t="shared" si="1"/>
        <v>0.01778</v>
      </c>
      <c r="H7" s="84">
        <f t="shared" si="1"/>
        <v>0.01782</v>
      </c>
    </row>
    <row r="8" spans="1:8" ht="14.25">
      <c r="A8" s="82">
        <v>5</v>
      </c>
      <c r="B8" s="82">
        <v>0.5</v>
      </c>
      <c r="C8" s="82">
        <v>0.5</v>
      </c>
      <c r="D8" s="84">
        <v>0.2045</v>
      </c>
      <c r="E8" s="84">
        <v>0.2052</v>
      </c>
      <c r="F8" s="85">
        <f t="shared" si="0"/>
        <v>490.3325</v>
      </c>
      <c r="G8" s="84">
        <f t="shared" si="1"/>
        <v>0.02045</v>
      </c>
      <c r="H8" s="84">
        <f t="shared" si="1"/>
        <v>0.02052</v>
      </c>
    </row>
    <row r="9" spans="1:8" ht="14.25">
      <c r="A9" s="82">
        <v>6</v>
      </c>
      <c r="B9" s="82">
        <v>0.6</v>
      </c>
      <c r="C9" s="82">
        <v>0.6</v>
      </c>
      <c r="D9" s="84">
        <v>0.2314</v>
      </c>
      <c r="E9" s="84">
        <v>0.2319</v>
      </c>
      <c r="F9" s="85">
        <f t="shared" si="0"/>
        <v>588.399</v>
      </c>
      <c r="G9" s="84">
        <f t="shared" si="1"/>
        <v>0.02314</v>
      </c>
      <c r="H9" s="84">
        <f t="shared" si="1"/>
        <v>0.02319</v>
      </c>
    </row>
    <row r="10" spans="1:8" ht="14.25">
      <c r="A10" s="82">
        <v>7</v>
      </c>
      <c r="B10" s="82">
        <v>0.7</v>
      </c>
      <c r="C10" s="82">
        <v>0.7</v>
      </c>
      <c r="D10" s="84">
        <v>0.2582</v>
      </c>
      <c r="E10" s="84">
        <v>0.2587</v>
      </c>
      <c r="F10" s="85">
        <f t="shared" si="0"/>
        <v>686.4654999999999</v>
      </c>
      <c r="G10" s="84">
        <f t="shared" si="1"/>
        <v>0.02582</v>
      </c>
      <c r="H10" s="84">
        <f t="shared" si="1"/>
        <v>0.025869999999999997</v>
      </c>
    </row>
    <row r="11" spans="1:8" ht="14.25">
      <c r="A11" s="82">
        <v>8</v>
      </c>
      <c r="B11" s="82">
        <v>0.8</v>
      </c>
      <c r="C11" s="82">
        <v>0.8</v>
      </c>
      <c r="D11" s="84">
        <v>0.2849</v>
      </c>
      <c r="E11" s="84">
        <v>0.2855</v>
      </c>
      <c r="F11" s="85">
        <f t="shared" si="0"/>
        <v>784.532</v>
      </c>
      <c r="G11" s="84">
        <f t="shared" si="1"/>
        <v>0.028489999999999998</v>
      </c>
      <c r="H11" s="84">
        <f t="shared" si="1"/>
        <v>0.02855</v>
      </c>
    </row>
    <row r="12" spans="1:8" ht="14.25">
      <c r="A12" s="82">
        <v>9</v>
      </c>
      <c r="B12" s="82">
        <v>0.9</v>
      </c>
      <c r="C12" s="82">
        <v>0.9</v>
      </c>
      <c r="D12" s="84">
        <v>0.312</v>
      </c>
      <c r="E12" s="84">
        <v>0.3125</v>
      </c>
      <c r="F12" s="85">
        <f t="shared" si="0"/>
        <v>882.5985</v>
      </c>
      <c r="G12" s="84">
        <f t="shared" si="1"/>
        <v>0.0312</v>
      </c>
      <c r="H12" s="84">
        <f t="shared" si="1"/>
        <v>0.03125</v>
      </c>
    </row>
    <row r="13" spans="1:8" ht="14.25">
      <c r="A13" s="82">
        <v>10</v>
      </c>
      <c r="B13" s="82">
        <v>1</v>
      </c>
      <c r="C13" s="82">
        <v>1</v>
      </c>
      <c r="D13" s="84">
        <v>0.3397</v>
      </c>
      <c r="E13" s="84">
        <v>0.3397</v>
      </c>
      <c r="F13" s="85">
        <f t="shared" si="0"/>
        <v>980.665</v>
      </c>
      <c r="G13" s="84">
        <f t="shared" si="1"/>
        <v>0.03397</v>
      </c>
      <c r="H13" s="84">
        <f t="shared" si="1"/>
        <v>0.03397</v>
      </c>
    </row>
    <row r="39" ht="15">
      <c r="B39" s="71" t="s">
        <v>16</v>
      </c>
    </row>
    <row r="40" ht="14.25">
      <c r="B40" s="72" t="s">
        <v>71</v>
      </c>
    </row>
    <row r="41" ht="14.25">
      <c r="B41" s="72" t="s">
        <v>69</v>
      </c>
    </row>
    <row r="42" ht="12.75">
      <c r="B42" s="115" t="s">
        <v>138</v>
      </c>
    </row>
    <row r="43" ht="14.25">
      <c r="B43" s="72" t="s">
        <v>70</v>
      </c>
    </row>
    <row r="44" ht="12.75"/>
    <row r="45" ht="12.75"/>
    <row r="46" ht="12.75"/>
    <row r="47" ht="14.25">
      <c r="B47" s="1" t="s">
        <v>134</v>
      </c>
    </row>
    <row r="48" ht="14.25">
      <c r="B48" s="114" t="s">
        <v>136</v>
      </c>
    </row>
    <row r="49" ht="14.25">
      <c r="B49" s="114" t="s">
        <v>137</v>
      </c>
    </row>
  </sheetData>
  <sheetProtection/>
  <mergeCells count="3">
    <mergeCell ref="B3:C3"/>
    <mergeCell ref="D3:E3"/>
    <mergeCell ref="G3:H3"/>
  </mergeCells>
  <printOptions/>
  <pageMargins left="0.75" right="0.75" top="1" bottom="1" header="0.5" footer="0.5"/>
  <pageSetup horizontalDpi="300" verticalDpi="3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O24" sqref="O24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12.421875" style="1" bestFit="1" customWidth="1"/>
    <col min="4" max="4" width="9.140625" style="1" customWidth="1"/>
    <col min="5" max="5" width="9.57421875" style="1" customWidth="1"/>
    <col min="6" max="16384" width="9.140625" style="1" customWidth="1"/>
  </cols>
  <sheetData>
    <row r="1" spans="1:9" ht="27" customHeight="1">
      <c r="A1" s="136" t="s">
        <v>123</v>
      </c>
      <c r="B1" s="136"/>
      <c r="C1" s="136"/>
      <c r="D1" s="136"/>
      <c r="E1" s="136"/>
      <c r="F1" s="136"/>
      <c r="G1" s="136"/>
      <c r="H1" s="136"/>
      <c r="I1" s="136"/>
    </row>
    <row r="2" spans="1:2" ht="18" customHeight="1">
      <c r="A2" s="43" t="s">
        <v>102</v>
      </c>
      <c r="B2" s="22"/>
    </row>
    <row r="3" spans="1:7" ht="18" customHeight="1">
      <c r="A3" s="1" t="s">
        <v>57</v>
      </c>
      <c r="D3" s="13">
        <v>759.5</v>
      </c>
      <c r="E3" s="40" t="s">
        <v>99</v>
      </c>
      <c r="F3" s="15">
        <f>D3*1.3332</f>
        <v>1012.5654</v>
      </c>
      <c r="G3" s="41" t="s">
        <v>45</v>
      </c>
    </row>
    <row r="4" spans="1:7" ht="18" customHeight="1">
      <c r="A4" s="39" t="s">
        <v>56</v>
      </c>
      <c r="B4" s="22"/>
      <c r="D4" s="13">
        <f>D3*1.3332/1000+E17/1000</f>
        <v>1.0132174</v>
      </c>
      <c r="E4" s="42" t="s">
        <v>20</v>
      </c>
      <c r="F4" s="41"/>
      <c r="G4" s="41"/>
    </row>
    <row r="5" spans="1:9" ht="17.25" customHeight="1">
      <c r="A5" s="100" t="s">
        <v>100</v>
      </c>
      <c r="B5" s="19" t="s">
        <v>34</v>
      </c>
      <c r="C5" s="100" t="s">
        <v>101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44"/>
    </row>
    <row r="6" spans="1:9" ht="20.25" customHeight="1" thickBot="1">
      <c r="A6" s="66" t="s">
        <v>26</v>
      </c>
      <c r="B6" s="66" t="s">
        <v>27</v>
      </c>
      <c r="C6" s="66" t="s">
        <v>28</v>
      </c>
      <c r="D6" s="66" t="s">
        <v>29</v>
      </c>
      <c r="E6" s="67" t="s">
        <v>62</v>
      </c>
      <c r="F6" s="68" t="s">
        <v>61</v>
      </c>
      <c r="G6" s="60" t="s">
        <v>30</v>
      </c>
      <c r="H6" s="60" t="s">
        <v>30</v>
      </c>
      <c r="I6" s="45"/>
    </row>
    <row r="7" spans="1:9" ht="17.25" customHeight="1">
      <c r="A7" s="57">
        <f>G17</f>
        <v>24.660000000000004</v>
      </c>
      <c r="B7" s="57">
        <f>H17</f>
        <v>33.72</v>
      </c>
      <c r="C7" s="58">
        <f>(20.11333*$D$4^3-71.29943*$D$4^2+81.50782*$D$4-3.40376)+(-11.8925*$D$4^3+42.46686*$D$4^2-48.99534*$D$4-11.22105)*LN(F7)+(2.591583*$D$4^3-9.7025*$D$4^2+12.62124*$D$4+3.693897)*(LN(F7))^2+(-0.1657917*$D$4^3+0.6385107*$D$4^2-0.8564975*$D$4-0.1862922)*(LN(F7))^3</f>
        <v>14.828530886841389</v>
      </c>
      <c r="D7" s="56">
        <f>0.62198*B7/100*G7/($D$4-B7/100*G7)</f>
        <v>0.006487346118531124</v>
      </c>
      <c r="E7" s="64">
        <f>(1+D7)/(461.56*(0.62198+D7))*$D$4*100000/(A7+273.15)</f>
        <v>1.1804858878673452</v>
      </c>
      <c r="F7" s="65">
        <f>(1005.7+0.00802*A7)/1000*A7+D7*(2500.84+(1852+0.2*A7)/1000*A7)</f>
        <v>41.32632193863891</v>
      </c>
      <c r="G7" s="56">
        <f>EXP(-0.00000000000000324482056*A7^6+0.0000000000042907244*A7^5-0.00000000259135086*A7^4+0.00000100042738*A7^3-0.000292012804*A7^2+0.072497137*A7-5.09750518)</f>
        <v>0.031016973945054503</v>
      </c>
      <c r="H7" s="56">
        <f>B7/100*G7</f>
        <v>0.010458923614272378</v>
      </c>
      <c r="I7" s="46"/>
    </row>
    <row r="8" spans="1:11" ht="7.5" customHeight="1">
      <c r="A8" s="22"/>
      <c r="B8" s="22"/>
      <c r="C8" s="47"/>
      <c r="E8" s="48"/>
      <c r="F8" s="49"/>
      <c r="I8" s="50"/>
      <c r="K8" s="47"/>
    </row>
    <row r="9" spans="1:11" ht="15">
      <c r="A9" s="8" t="s">
        <v>31</v>
      </c>
      <c r="K9" s="47"/>
    </row>
    <row r="10" spans="1:8" ht="22.5" customHeight="1">
      <c r="A10" s="13" t="s">
        <v>32</v>
      </c>
      <c r="B10" s="13" t="s">
        <v>33</v>
      </c>
      <c r="C10" s="13" t="s">
        <v>58</v>
      </c>
      <c r="D10" s="13" t="s">
        <v>58</v>
      </c>
      <c r="E10" s="55" t="s">
        <v>59</v>
      </c>
      <c r="F10" s="55" t="s">
        <v>59</v>
      </c>
      <c r="G10" s="55" t="s">
        <v>60</v>
      </c>
      <c r="H10" s="19" t="s">
        <v>34</v>
      </c>
    </row>
    <row r="11" spans="1:8" ht="17.25" customHeight="1">
      <c r="A11" s="2"/>
      <c r="B11" s="2" t="s">
        <v>35</v>
      </c>
      <c r="C11" s="2" t="s">
        <v>36</v>
      </c>
      <c r="D11" s="2" t="s">
        <v>37</v>
      </c>
      <c r="E11" s="51" t="s">
        <v>38</v>
      </c>
      <c r="F11" s="2" t="s">
        <v>37</v>
      </c>
      <c r="G11" s="2" t="s">
        <v>1</v>
      </c>
      <c r="H11" s="2" t="s">
        <v>0</v>
      </c>
    </row>
    <row r="12" spans="1:8" ht="14.25">
      <c r="A12" s="2">
        <v>1</v>
      </c>
      <c r="B12" s="52">
        <v>0.4458333333333333</v>
      </c>
      <c r="C12" s="14">
        <v>1.52</v>
      </c>
      <c r="D12" s="5">
        <f>C12*100</f>
        <v>152</v>
      </c>
      <c r="E12" s="2">
        <v>0.65</v>
      </c>
      <c r="F12" s="2">
        <f>100*E12</f>
        <v>65</v>
      </c>
      <c r="G12" s="2">
        <v>25.2</v>
      </c>
      <c r="H12" s="2">
        <v>34.7</v>
      </c>
    </row>
    <row r="13" spans="1:8" ht="14.25">
      <c r="A13" s="2">
        <v>2</v>
      </c>
      <c r="B13" s="52">
        <v>0.44930555555555557</v>
      </c>
      <c r="C13" s="14">
        <v>1.496</v>
      </c>
      <c r="D13" s="5">
        <f>C13*100</f>
        <v>149.6</v>
      </c>
      <c r="E13" s="2">
        <v>0.68</v>
      </c>
      <c r="F13" s="2">
        <f>100*E13</f>
        <v>68</v>
      </c>
      <c r="G13" s="2">
        <v>24.4</v>
      </c>
      <c r="H13" s="2">
        <v>34.4</v>
      </c>
    </row>
    <row r="14" spans="1:8" ht="14.25">
      <c r="A14" s="2">
        <v>3</v>
      </c>
      <c r="B14" s="52">
        <v>0.4527777777777778</v>
      </c>
      <c r="C14" s="14">
        <v>1.488</v>
      </c>
      <c r="D14" s="5">
        <f>C14*100</f>
        <v>148.8</v>
      </c>
      <c r="E14" s="2">
        <v>0.65</v>
      </c>
      <c r="F14" s="2">
        <f>100*E14</f>
        <v>65</v>
      </c>
      <c r="G14" s="2">
        <v>24.7</v>
      </c>
      <c r="H14" s="2">
        <v>33.9</v>
      </c>
    </row>
    <row r="15" spans="1:8" ht="14.25">
      <c r="A15" s="2">
        <v>4</v>
      </c>
      <c r="B15" s="52">
        <v>0.45625</v>
      </c>
      <c r="C15" s="14">
        <v>1.479</v>
      </c>
      <c r="D15" s="5">
        <f>C15*100</f>
        <v>147.9</v>
      </c>
      <c r="E15" s="2">
        <v>0.63</v>
      </c>
      <c r="F15" s="2">
        <f>100*E15</f>
        <v>63</v>
      </c>
      <c r="G15" s="2">
        <v>24.6</v>
      </c>
      <c r="H15" s="2">
        <v>32.5</v>
      </c>
    </row>
    <row r="16" spans="1:8" ht="15" thickBot="1">
      <c r="A16" s="60">
        <v>5</v>
      </c>
      <c r="B16" s="61">
        <v>0.4597222222222222</v>
      </c>
      <c r="C16" s="62">
        <v>1.471</v>
      </c>
      <c r="D16" s="63">
        <f>C16*100</f>
        <v>147.10000000000002</v>
      </c>
      <c r="E16" s="60">
        <v>0.65</v>
      </c>
      <c r="F16" s="60">
        <f>100*E16</f>
        <v>65</v>
      </c>
      <c r="G16" s="60">
        <v>24.4</v>
      </c>
      <c r="H16" s="60">
        <v>33.1</v>
      </c>
    </row>
    <row r="17" spans="1:8" ht="14.25">
      <c r="A17" s="56" t="s">
        <v>39</v>
      </c>
      <c r="B17" s="56"/>
      <c r="C17" s="57">
        <f aca="true" t="shared" si="0" ref="C17:H17">AVERAGE(C12:C16)</f>
        <v>1.4908</v>
      </c>
      <c r="D17" s="58">
        <f>AVERAGE(D12:D16)</f>
        <v>149.08</v>
      </c>
      <c r="E17" s="58">
        <f>AVERAGE(E12:E16)</f>
        <v>0.6519999999999999</v>
      </c>
      <c r="F17" s="59">
        <f t="shared" si="0"/>
        <v>65.2</v>
      </c>
      <c r="G17" s="58">
        <f t="shared" si="0"/>
        <v>24.660000000000004</v>
      </c>
      <c r="H17" s="58">
        <f t="shared" si="0"/>
        <v>33.72</v>
      </c>
    </row>
    <row r="18" ht="6.75" customHeight="1"/>
    <row r="19" ht="15">
      <c r="A19" s="8" t="s">
        <v>46</v>
      </c>
    </row>
    <row r="20" spans="1:3" ht="15.75" customHeight="1">
      <c r="A20" s="13"/>
      <c r="B20" s="13" t="s">
        <v>40</v>
      </c>
      <c r="C20" s="13" t="s">
        <v>41</v>
      </c>
    </row>
    <row r="21" spans="1:3" ht="14.25">
      <c r="A21" s="53" t="s">
        <v>42</v>
      </c>
      <c r="B21" s="6">
        <f>273.15+G17</f>
        <v>297.81</v>
      </c>
      <c r="C21" s="54">
        <f>1*10^-6*(0.40401+0.074582*B21-5.7171*10^-5*B21^2+2.9928*10^-8*B21^3-6.2524*10^-12*B21^4)</f>
        <v>1.8286040622589223E-05</v>
      </c>
    </row>
    <row r="22" spans="1:3" ht="14.25">
      <c r="A22" s="53" t="s">
        <v>43</v>
      </c>
      <c r="B22" s="6">
        <f>273.15+G17</f>
        <v>297.81</v>
      </c>
      <c r="C22" s="54">
        <f>1*10^-6*(B22/647.27)^0.5/(0.0181583+0.0177624*(B22/647.27)^0.5+0.0105287*(B22/647.27)-0.0036744*((B22/647.27)^0.5)^3)</f>
        <v>2.0006602932347696E-05</v>
      </c>
    </row>
    <row r="23" spans="1:3" ht="14.25">
      <c r="A23" s="53" t="s">
        <v>44</v>
      </c>
      <c r="B23" s="2"/>
      <c r="C23" s="54">
        <f>C21*(1/(1+0.35249*D7*(1+0.888064*(C21/C22)^0.5)^2)+(D7*C22/C21)/(D7+0.172427*(1+1.12605*(C22/C21)^0.5)^2))</f>
        <v>1.8301643029904016E-05</v>
      </c>
    </row>
    <row r="25" ht="15">
      <c r="B25" s="8" t="s">
        <v>16</v>
      </c>
    </row>
    <row r="26" ht="14.25">
      <c r="B26" s="1" t="s">
        <v>64</v>
      </c>
    </row>
    <row r="27" ht="14.25">
      <c r="B27" s="1" t="s">
        <v>142</v>
      </c>
    </row>
    <row r="28" ht="14.25">
      <c r="B28" s="1" t="s">
        <v>143</v>
      </c>
    </row>
    <row r="30" ht="14.25">
      <c r="B30" s="1" t="s">
        <v>134</v>
      </c>
    </row>
    <row r="31" ht="14.25">
      <c r="B31" s="114" t="s">
        <v>136</v>
      </c>
    </row>
    <row r="32" ht="14.25">
      <c r="B32" s="114" t="s">
        <v>140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scale="86" r:id="rId3"/>
  <colBreaks count="1" manualBreakCount="1">
    <brk id="1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L14" sqref="L14"/>
    </sheetView>
  </sheetViews>
  <sheetFormatPr defaultColWidth="9.140625" defaultRowHeight="12.75"/>
  <cols>
    <col min="1" max="1" width="8.57421875" style="69" customWidth="1"/>
    <col min="2" max="2" width="15.421875" style="69" customWidth="1"/>
    <col min="3" max="3" width="12.57421875" style="69" customWidth="1"/>
    <col min="4" max="4" width="16.140625" style="69" customWidth="1"/>
    <col min="5" max="5" width="15.140625" style="69" customWidth="1"/>
    <col min="6" max="6" width="12.57421875" style="69" customWidth="1"/>
    <col min="7" max="7" width="12.421875" style="69" customWidth="1"/>
    <col min="8" max="8" width="12.57421875" style="69" customWidth="1"/>
    <col min="9" max="9" width="13.140625" style="69" customWidth="1"/>
    <col min="10" max="16384" width="9.140625" style="69" customWidth="1"/>
  </cols>
  <sheetData>
    <row r="1" ht="18">
      <c r="A1" s="86" t="s">
        <v>122</v>
      </c>
    </row>
    <row r="3" ht="14.25">
      <c r="A3" s="70" t="s">
        <v>144</v>
      </c>
    </row>
    <row r="4" spans="1:9" ht="45" customHeight="1">
      <c r="A4" s="87" t="s">
        <v>9</v>
      </c>
      <c r="B4" s="88" t="s">
        <v>72</v>
      </c>
      <c r="C4" s="88" t="s">
        <v>145</v>
      </c>
      <c r="D4" s="88" t="s">
        <v>73</v>
      </c>
      <c r="E4" s="88" t="s">
        <v>74</v>
      </c>
      <c r="F4" s="88" t="s">
        <v>75</v>
      </c>
      <c r="G4" s="88" t="s">
        <v>76</v>
      </c>
      <c r="H4" s="88" t="s">
        <v>77</v>
      </c>
      <c r="I4" s="88" t="s">
        <v>78</v>
      </c>
    </row>
    <row r="5" spans="1:9" ht="19.5">
      <c r="A5" s="101" t="s">
        <v>35</v>
      </c>
      <c r="B5" s="101" t="s">
        <v>150</v>
      </c>
      <c r="C5" s="101" t="s">
        <v>105</v>
      </c>
      <c r="D5" s="101" t="s">
        <v>103</v>
      </c>
      <c r="E5" s="101" t="s">
        <v>104</v>
      </c>
      <c r="F5" s="101" t="s">
        <v>106</v>
      </c>
      <c r="G5" s="101" t="s">
        <v>121</v>
      </c>
      <c r="H5" s="101" t="s">
        <v>107</v>
      </c>
      <c r="I5" s="101" t="s">
        <v>108</v>
      </c>
    </row>
    <row r="6" spans="1:9" ht="14.25">
      <c r="A6" s="89">
        <v>0.4930555555555556</v>
      </c>
      <c r="B6" s="90">
        <v>0.0174</v>
      </c>
      <c r="C6" s="91">
        <f>B6/5/60</f>
        <v>5.7999999999999994E-05</v>
      </c>
      <c r="D6" s="85">
        <v>57.1</v>
      </c>
      <c r="E6" s="85">
        <v>54.3</v>
      </c>
      <c r="F6" s="85">
        <f>(D6+E6)/2</f>
        <v>55.7</v>
      </c>
      <c r="G6" s="85">
        <f>D6-E6</f>
        <v>2.8000000000000043</v>
      </c>
      <c r="H6" s="85">
        <v>24</v>
      </c>
      <c r="I6" s="73">
        <f aca="true" t="shared" si="0" ref="I6:I11">1000*B6*4190*G6/(60*5*1.4*((D6+E6)/2-H6))</f>
        <v>15.33249211356469</v>
      </c>
    </row>
    <row r="7" spans="1:9" ht="14.25">
      <c r="A7" s="89">
        <v>0.49652777777777773</v>
      </c>
      <c r="B7" s="90">
        <v>0.0163</v>
      </c>
      <c r="C7" s="91">
        <f>B7/5/60</f>
        <v>5.433333333333333E-05</v>
      </c>
      <c r="D7" s="85">
        <v>58.4</v>
      </c>
      <c r="E7" s="85">
        <v>54.3</v>
      </c>
      <c r="F7" s="85">
        <f>(D7+E7)/2</f>
        <v>56.349999999999994</v>
      </c>
      <c r="G7" s="85">
        <f>D7-E7</f>
        <v>4.100000000000001</v>
      </c>
      <c r="H7" s="85">
        <v>24</v>
      </c>
      <c r="I7" s="73">
        <f t="shared" si="0"/>
        <v>20.609236770442337</v>
      </c>
    </row>
    <row r="8" spans="1:9" ht="14.25">
      <c r="A8" s="89">
        <v>0.5</v>
      </c>
      <c r="B8" s="90">
        <v>0.0155</v>
      </c>
      <c r="C8" s="91">
        <f>B8/5/60</f>
        <v>5.1666666666666664E-05</v>
      </c>
      <c r="D8" s="85">
        <v>57.7</v>
      </c>
      <c r="E8" s="85">
        <v>55.1</v>
      </c>
      <c r="F8" s="85">
        <f>(D8+E8)/2</f>
        <v>56.400000000000006</v>
      </c>
      <c r="G8" s="85">
        <f>D8-E8</f>
        <v>2.6000000000000014</v>
      </c>
      <c r="H8" s="85">
        <v>24</v>
      </c>
      <c r="I8" s="73">
        <f t="shared" si="0"/>
        <v>12.408656672545566</v>
      </c>
    </row>
    <row r="9" spans="1:9" ht="14.25">
      <c r="A9" s="89">
        <v>0.5034722222222222</v>
      </c>
      <c r="B9" s="90">
        <v>0.0172</v>
      </c>
      <c r="C9" s="91">
        <f>B9/5/60</f>
        <v>5.733333333333333E-05</v>
      </c>
      <c r="D9" s="85">
        <v>58</v>
      </c>
      <c r="E9" s="85">
        <v>54.1</v>
      </c>
      <c r="F9" s="85">
        <f>(D9+E9)/2</f>
        <v>56.05</v>
      </c>
      <c r="G9" s="85">
        <f>D9-E9</f>
        <v>3.8999999999999986</v>
      </c>
      <c r="H9" s="85">
        <v>24</v>
      </c>
      <c r="I9" s="73">
        <f t="shared" si="0"/>
        <v>20.879964341430796</v>
      </c>
    </row>
    <row r="10" spans="1:9" ht="15" thickBot="1">
      <c r="A10" s="92">
        <v>0.5069444444444444</v>
      </c>
      <c r="B10" s="93">
        <v>0.0157</v>
      </c>
      <c r="C10" s="94">
        <f>B10/5/60</f>
        <v>5.233333333333333E-05</v>
      </c>
      <c r="D10" s="95">
        <v>57.6</v>
      </c>
      <c r="E10" s="95">
        <v>54.6</v>
      </c>
      <c r="F10" s="95">
        <f>(D10+E10)/2</f>
        <v>56.1</v>
      </c>
      <c r="G10" s="95">
        <f>D10-E10</f>
        <v>3</v>
      </c>
      <c r="H10" s="95">
        <v>24</v>
      </c>
      <c r="I10" s="74">
        <f t="shared" si="0"/>
        <v>14.637961726746774</v>
      </c>
    </row>
    <row r="11" spans="1:10" ht="15">
      <c r="A11" s="75" t="s">
        <v>39</v>
      </c>
      <c r="B11" s="76">
        <f aca="true" t="shared" si="1" ref="B11:H11">AVERAGE(B6:B10)</f>
        <v>0.016419999999999997</v>
      </c>
      <c r="C11" s="77">
        <f t="shared" si="1"/>
        <v>5.4733333333333327E-05</v>
      </c>
      <c r="D11" s="78">
        <f t="shared" si="1"/>
        <v>57.760000000000005</v>
      </c>
      <c r="E11" s="78">
        <f t="shared" si="1"/>
        <v>54.48</v>
      </c>
      <c r="F11" s="78">
        <f t="shared" si="1"/>
        <v>56.120000000000005</v>
      </c>
      <c r="G11" s="78">
        <f t="shared" si="1"/>
        <v>3.280000000000001</v>
      </c>
      <c r="H11" s="78">
        <f t="shared" si="1"/>
        <v>24</v>
      </c>
      <c r="I11" s="79">
        <f t="shared" si="0"/>
        <v>16.72769851153413</v>
      </c>
      <c r="J11" s="80"/>
    </row>
    <row r="13" ht="14.25">
      <c r="A13" s="70" t="s">
        <v>146</v>
      </c>
    </row>
    <row r="14" spans="1:9" ht="42.75">
      <c r="A14" s="87" t="s">
        <v>9</v>
      </c>
      <c r="B14" s="88" t="s">
        <v>72</v>
      </c>
      <c r="C14" s="88" t="s">
        <v>145</v>
      </c>
      <c r="D14" s="88" t="s">
        <v>73</v>
      </c>
      <c r="E14" s="88" t="s">
        <v>74</v>
      </c>
      <c r="F14" s="88" t="s">
        <v>75</v>
      </c>
      <c r="G14" s="88" t="s">
        <v>76</v>
      </c>
      <c r="H14" s="88" t="s">
        <v>77</v>
      </c>
      <c r="I14" s="88" t="s">
        <v>78</v>
      </c>
    </row>
    <row r="15" spans="1:9" ht="19.5">
      <c r="A15" s="101" t="s">
        <v>35</v>
      </c>
      <c r="B15" s="101" t="s">
        <v>151</v>
      </c>
      <c r="C15" s="101" t="s">
        <v>105</v>
      </c>
      <c r="D15" s="101" t="s">
        <v>103</v>
      </c>
      <c r="E15" s="101" t="s">
        <v>104</v>
      </c>
      <c r="F15" s="101" t="s">
        <v>106</v>
      </c>
      <c r="G15" s="101" t="s">
        <v>121</v>
      </c>
      <c r="H15" s="101" t="s">
        <v>107</v>
      </c>
      <c r="I15" s="101" t="s">
        <v>108</v>
      </c>
    </row>
    <row r="16" spans="1:9" ht="14.25">
      <c r="A16" s="89">
        <v>0.4930555555555556</v>
      </c>
      <c r="B16" s="90">
        <v>0.0174</v>
      </c>
      <c r="C16" s="91">
        <f>B16/5/60</f>
        <v>5.7999999999999994E-05</v>
      </c>
      <c r="D16" s="85">
        <v>57.1</v>
      </c>
      <c r="E16" s="85">
        <v>54.3</v>
      </c>
      <c r="F16" s="85">
        <f>(D16+E16)/2</f>
        <v>55.7</v>
      </c>
      <c r="G16" s="85">
        <f>D16-E16</f>
        <v>2.8000000000000043</v>
      </c>
      <c r="H16" s="85">
        <v>24</v>
      </c>
      <c r="I16" s="73">
        <f aca="true" t="shared" si="2" ref="I16:I21">1000*B16*4190*G16/(60*5*1.88*((D16+E16)/2-H16))</f>
        <v>11.417813276058812</v>
      </c>
    </row>
    <row r="17" spans="1:9" ht="14.25">
      <c r="A17" s="89">
        <v>0.49652777777777773</v>
      </c>
      <c r="B17" s="90">
        <v>0.0163</v>
      </c>
      <c r="C17" s="91">
        <f>B17/5/60</f>
        <v>5.433333333333333E-05</v>
      </c>
      <c r="D17" s="85">
        <v>58.4</v>
      </c>
      <c r="E17" s="85">
        <v>54.3</v>
      </c>
      <c r="F17" s="85">
        <f>(D17+E17)/2</f>
        <v>56.349999999999994</v>
      </c>
      <c r="G17" s="85">
        <f>D17-E17</f>
        <v>4.100000000000001</v>
      </c>
      <c r="H17" s="85">
        <v>24</v>
      </c>
      <c r="I17" s="73">
        <f t="shared" si="2"/>
        <v>15.347303977988975</v>
      </c>
    </row>
    <row r="18" spans="1:9" ht="14.25">
      <c r="A18" s="89">
        <v>0.5</v>
      </c>
      <c r="B18" s="90">
        <v>0.0155</v>
      </c>
      <c r="C18" s="91">
        <f>B18/5/60</f>
        <v>5.1666666666666664E-05</v>
      </c>
      <c r="D18" s="85">
        <v>57.7</v>
      </c>
      <c r="E18" s="85">
        <v>55.1</v>
      </c>
      <c r="F18" s="85">
        <f>(D18+E18)/2</f>
        <v>56.400000000000006</v>
      </c>
      <c r="G18" s="85">
        <f>D18-E18</f>
        <v>2.6000000000000014</v>
      </c>
      <c r="H18" s="85">
        <v>24</v>
      </c>
      <c r="I18" s="73">
        <f t="shared" si="2"/>
        <v>9.240489011470103</v>
      </c>
    </row>
    <row r="19" spans="1:9" ht="14.25">
      <c r="A19" s="89">
        <v>0.5034722222222222</v>
      </c>
      <c r="B19" s="90">
        <v>0.0172</v>
      </c>
      <c r="C19" s="91">
        <f>B19/5/60</f>
        <v>5.733333333333333E-05</v>
      </c>
      <c r="D19" s="85">
        <v>58</v>
      </c>
      <c r="E19" s="85">
        <v>54.1</v>
      </c>
      <c r="F19" s="85">
        <f>(D19+E19)/2</f>
        <v>56.05</v>
      </c>
      <c r="G19" s="85">
        <f>D19-E19</f>
        <v>3.8999999999999986</v>
      </c>
      <c r="H19" s="85">
        <v>24</v>
      </c>
      <c r="I19" s="73">
        <f t="shared" si="2"/>
        <v>15.548909615959102</v>
      </c>
    </row>
    <row r="20" spans="1:9" ht="15" thickBot="1">
      <c r="A20" s="92">
        <v>0.5069444444444444</v>
      </c>
      <c r="B20" s="93">
        <v>0.0157</v>
      </c>
      <c r="C20" s="94">
        <f>B20/5/60</f>
        <v>5.233333333333333E-05</v>
      </c>
      <c r="D20" s="95">
        <v>57.6</v>
      </c>
      <c r="E20" s="95">
        <v>54.6</v>
      </c>
      <c r="F20" s="95">
        <f>(D20+E20)/2</f>
        <v>56.1</v>
      </c>
      <c r="G20" s="95">
        <f>D20-E20</f>
        <v>3</v>
      </c>
      <c r="H20" s="95">
        <v>24</v>
      </c>
      <c r="I20" s="74">
        <f t="shared" si="2"/>
        <v>10.900609796513553</v>
      </c>
    </row>
    <row r="21" spans="1:9" ht="15">
      <c r="A21" s="75" t="s">
        <v>39</v>
      </c>
      <c r="B21" s="76">
        <f aca="true" t="shared" si="3" ref="B21:H21">AVERAGE(B16:B20)</f>
        <v>0.016419999999999997</v>
      </c>
      <c r="C21" s="77">
        <f t="shared" si="3"/>
        <v>5.4733333333333327E-05</v>
      </c>
      <c r="D21" s="78">
        <f t="shared" si="3"/>
        <v>57.760000000000005</v>
      </c>
      <c r="E21" s="78">
        <f t="shared" si="3"/>
        <v>54.48</v>
      </c>
      <c r="F21" s="78">
        <f t="shared" si="3"/>
        <v>56.120000000000005</v>
      </c>
      <c r="G21" s="78">
        <f t="shared" si="3"/>
        <v>3.280000000000001</v>
      </c>
      <c r="H21" s="78">
        <f t="shared" si="3"/>
        <v>24</v>
      </c>
      <c r="I21" s="79">
        <f t="shared" si="2"/>
        <v>12.456796763908393</v>
      </c>
    </row>
    <row r="23" ht="15">
      <c r="B23" s="71" t="s">
        <v>16</v>
      </c>
    </row>
    <row r="24" ht="14.25">
      <c r="B24" s="72" t="s">
        <v>64</v>
      </c>
    </row>
    <row r="25" ht="14.25">
      <c r="B25" s="72" t="s">
        <v>139</v>
      </c>
    </row>
    <row r="26" ht="14.25">
      <c r="B26" s="72" t="s">
        <v>79</v>
      </c>
    </row>
    <row r="27" ht="14.25">
      <c r="B27" s="72" t="s">
        <v>80</v>
      </c>
    </row>
    <row r="29" ht="14.25">
      <c r="B29" s="1" t="s">
        <v>134</v>
      </c>
    </row>
    <row r="30" ht="14.25">
      <c r="B30" s="114" t="s">
        <v>136</v>
      </c>
    </row>
    <row r="31" ht="14.25">
      <c r="B31" s="114" t="s">
        <v>141</v>
      </c>
    </row>
  </sheetData>
  <sheetProtection/>
  <printOptions/>
  <pageMargins left="0.75" right="0.75" top="1" bottom="1" header="0.5" footer="0.5"/>
  <pageSetup horizontalDpi="300" verticalDpi="3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M36" sqref="M36"/>
    </sheetView>
  </sheetViews>
  <sheetFormatPr defaultColWidth="9.140625" defaultRowHeight="12.75"/>
  <cols>
    <col min="1" max="1" width="4.140625" style="69" customWidth="1"/>
    <col min="2" max="2" width="20.57421875" style="69" customWidth="1"/>
    <col min="3" max="3" width="20.421875" style="69" customWidth="1"/>
    <col min="4" max="4" width="15.8515625" style="69" customWidth="1"/>
    <col min="5" max="5" width="17.140625" style="69" customWidth="1"/>
    <col min="6" max="6" width="15.57421875" style="69" customWidth="1"/>
    <col min="7" max="16384" width="9.140625" style="69" customWidth="1"/>
  </cols>
  <sheetData>
    <row r="1" spans="1:11" ht="24" customHeight="1">
      <c r="A1" s="137" t="s">
        <v>81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13.5" customHeight="1">
      <c r="A2" s="70" t="s">
        <v>31</v>
      </c>
    </row>
    <row r="3" spans="1:6" ht="33" customHeight="1">
      <c r="A3" s="87" t="s">
        <v>32</v>
      </c>
      <c r="B3" s="88" t="s">
        <v>82</v>
      </c>
      <c r="C3" s="88" t="s">
        <v>83</v>
      </c>
      <c r="D3" s="88" t="s">
        <v>84</v>
      </c>
      <c r="E3" s="88" t="s">
        <v>85</v>
      </c>
      <c r="F3" s="88" t="s">
        <v>86</v>
      </c>
    </row>
    <row r="4" spans="1:6" ht="14.25">
      <c r="A4" s="82">
        <v>1</v>
      </c>
      <c r="B4" s="96">
        <v>19.2</v>
      </c>
      <c r="C4" s="96">
        <v>33.1</v>
      </c>
      <c r="D4" s="96">
        <f>C4-B4</f>
        <v>13.900000000000002</v>
      </c>
      <c r="E4" s="102">
        <f>E11*E13*D4/E12</f>
        <v>51072.37724160002</v>
      </c>
      <c r="F4" s="102">
        <f>E4-(2258*E14/E12)</f>
        <v>51072.37724160002</v>
      </c>
    </row>
    <row r="5" spans="1:6" ht="14.25">
      <c r="A5" s="82">
        <v>2</v>
      </c>
      <c r="B5" s="96">
        <v>19</v>
      </c>
      <c r="C5" s="96">
        <v>32.4</v>
      </c>
      <c r="D5" s="96">
        <f>C5-B5</f>
        <v>13.399999999999999</v>
      </c>
      <c r="E5" s="102">
        <f>E11*E13*D5/E12</f>
        <v>49235.2413696</v>
      </c>
      <c r="F5" s="102">
        <f>E5-(2258*E14/E12)</f>
        <v>49235.2413696</v>
      </c>
    </row>
    <row r="6" spans="1:6" ht="14.25">
      <c r="A6" s="82">
        <v>3</v>
      </c>
      <c r="B6" s="96">
        <v>19</v>
      </c>
      <c r="C6" s="96">
        <v>32</v>
      </c>
      <c r="D6" s="96">
        <f>C6-B6</f>
        <v>13</v>
      </c>
      <c r="E6" s="102">
        <f>E11*E13*D6/E12</f>
        <v>47765.53267200001</v>
      </c>
      <c r="F6" s="102">
        <f>E6-(2258*E14/E12)</f>
        <v>47765.53267200001</v>
      </c>
    </row>
    <row r="7" spans="1:6" ht="14.25">
      <c r="A7" s="82">
        <v>4</v>
      </c>
      <c r="B7" s="96">
        <v>18.9</v>
      </c>
      <c r="C7" s="96">
        <v>31.6</v>
      </c>
      <c r="D7" s="96">
        <f>C7-B7</f>
        <v>12.700000000000003</v>
      </c>
      <c r="E7" s="102">
        <f>E11*E13*D7/E12</f>
        <v>46663.25114880002</v>
      </c>
      <c r="F7" s="102">
        <f>E7-(2258*E14/E12)</f>
        <v>46663.25114880002</v>
      </c>
    </row>
    <row r="8" spans="1:6" ht="14.25">
      <c r="A8" s="82">
        <v>5</v>
      </c>
      <c r="B8" s="96">
        <v>18.8</v>
      </c>
      <c r="C8" s="96">
        <v>31.4</v>
      </c>
      <c r="D8" s="96">
        <f>C8-B8</f>
        <v>12.599999999999998</v>
      </c>
      <c r="E8" s="102">
        <f>E11*E13*D8/E12</f>
        <v>46295.8239744</v>
      </c>
      <c r="F8" s="102">
        <f>E8-(2258*E14/E12)</f>
        <v>46295.8239744</v>
      </c>
    </row>
    <row r="9" spans="1:6" ht="15">
      <c r="A9" s="97" t="s">
        <v>87</v>
      </c>
      <c r="B9" s="97"/>
      <c r="C9" s="97"/>
      <c r="D9" s="97"/>
      <c r="E9" s="103">
        <f>AVERAGE(E4:E8)</f>
        <v>48206.44528128001</v>
      </c>
      <c r="F9" s="103">
        <f>AVERAGE(F4:F8)</f>
        <v>48206.44528128001</v>
      </c>
    </row>
    <row r="10" spans="1:6" ht="14.25">
      <c r="A10" s="72"/>
      <c r="B10" s="72"/>
      <c r="C10" s="72"/>
      <c r="D10" s="72"/>
      <c r="E10" s="72"/>
      <c r="F10" s="72"/>
    </row>
    <row r="11" spans="1:6" ht="14.25">
      <c r="A11" s="98" t="s">
        <v>88</v>
      </c>
      <c r="B11" s="98"/>
      <c r="C11" s="98"/>
      <c r="D11" s="98"/>
      <c r="E11" s="99">
        <f>998.4*0.0044</f>
        <v>4.39296</v>
      </c>
      <c r="F11" s="98" t="s">
        <v>89</v>
      </c>
    </row>
    <row r="12" spans="1:6" ht="14.25">
      <c r="A12" s="98" t="s">
        <v>90</v>
      </c>
      <c r="B12" s="98"/>
      <c r="C12" s="98"/>
      <c r="D12" s="98"/>
      <c r="E12" s="99">
        <v>0.005</v>
      </c>
      <c r="F12" s="98" t="s">
        <v>89</v>
      </c>
    </row>
    <row r="13" spans="1:6" ht="14.25">
      <c r="A13" s="98" t="s">
        <v>91</v>
      </c>
      <c r="B13" s="98"/>
      <c r="C13" s="98"/>
      <c r="D13" s="98"/>
      <c r="E13" s="99">
        <v>4.182</v>
      </c>
      <c r="F13" s="98" t="s">
        <v>92</v>
      </c>
    </row>
    <row r="14" spans="1:6" ht="14.25">
      <c r="A14" s="98" t="s">
        <v>93</v>
      </c>
      <c r="B14" s="98"/>
      <c r="C14" s="98"/>
      <c r="D14" s="98"/>
      <c r="E14" s="99">
        <v>0</v>
      </c>
      <c r="F14" s="98" t="s">
        <v>89</v>
      </c>
    </row>
    <row r="16" ht="15">
      <c r="B16" s="71" t="s">
        <v>16</v>
      </c>
    </row>
    <row r="17" ht="14.25">
      <c r="B17" s="72" t="s">
        <v>64</v>
      </c>
    </row>
    <row r="18" ht="14.25">
      <c r="B18" s="72" t="s">
        <v>94</v>
      </c>
    </row>
    <row r="19" ht="14.25">
      <c r="B19" s="72" t="s">
        <v>95</v>
      </c>
    </row>
    <row r="20" ht="14.25">
      <c r="B20" s="72" t="s">
        <v>96</v>
      </c>
    </row>
    <row r="22" ht="14.25">
      <c r="B22" s="1" t="s">
        <v>134</v>
      </c>
    </row>
    <row r="23" ht="14.25">
      <c r="B23" s="114" t="s">
        <v>136</v>
      </c>
    </row>
    <row r="24" ht="14.25">
      <c r="B24" s="114" t="s">
        <v>140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VMuncan</cp:lastModifiedBy>
  <cp:lastPrinted>2019-04-10T11:17:12Z</cp:lastPrinted>
  <dcterms:created xsi:type="dcterms:W3CDTF">2000-11-18T10:16:28Z</dcterms:created>
  <dcterms:modified xsi:type="dcterms:W3CDTF">2024-04-16T08:07:50Z</dcterms:modified>
  <cp:category/>
  <cp:version/>
  <cp:contentType/>
  <cp:contentStatus/>
</cp:coreProperties>
</file>